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comments2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8840" windowHeight="7170" tabRatio="893" firstSheet="41" activeTab="50"/>
  </bookViews>
  <sheets>
    <sheet name="Menu" sheetId="1" state="hidden" r:id="rId1"/>
    <sheet name="- A -" sheetId="2" state="hidden" r:id="rId2"/>
    <sheet name="- B -" sheetId="3" state="hidden" r:id="rId3"/>
    <sheet name="- C -" sheetId="4" state="hidden" r:id="rId4"/>
    <sheet name="- D -" sheetId="5" state="hidden" r:id="rId5"/>
    <sheet name="- E -" sheetId="6" state="hidden" r:id="rId6"/>
    <sheet name="- F -" sheetId="7" state="hidden" r:id="rId7"/>
    <sheet name="- G -" sheetId="8" state="hidden" r:id="rId8"/>
    <sheet name="- H -" sheetId="9" state="hidden" r:id="rId9"/>
    <sheet name="Octavos de Final" sheetId="10" state="hidden" r:id="rId10"/>
    <sheet name="Cuartos de Final" sheetId="11" state="hidden" r:id="rId11"/>
    <sheet name="Semifinal" sheetId="12" state="hidden" r:id="rId12"/>
    <sheet name="3er puesto y FINAL" sheetId="13" state="hidden" r:id="rId13"/>
    <sheet name="Fixture" sheetId="20" state="hidden" r:id="rId14"/>
    <sheet name="Quiniela" sheetId="15" r:id="rId15"/>
    <sheet name="Puntos" sheetId="16" state="hidden" r:id="rId16"/>
    <sheet name="Config" sheetId="17" state="hidden" r:id="rId17"/>
    <sheet name="Calculos" sheetId="18" state="hidden" r:id="rId18"/>
    <sheet name="Calculos M" sheetId="24" state="hidden" r:id="rId19"/>
    <sheet name="CalculosAntonio" sheetId="25" state="hidden" r:id="rId20"/>
    <sheet name="Estadisticas" sheetId="19" state="hidden" r:id="rId21"/>
    <sheet name="Ranking" sheetId="22" r:id="rId22"/>
    <sheet name="Manuel Godoy" sheetId="21" r:id="rId23"/>
    <sheet name="Antonio J" sheetId="23" r:id="rId24"/>
    <sheet name="Luis Escamillo" sheetId="26" r:id="rId25"/>
    <sheet name="Cristina Gonzalez" sheetId="27" r:id="rId26"/>
    <sheet name="Jessica Gonzalez" sheetId="28" r:id="rId27"/>
    <sheet name="Daniel Alonzo" sheetId="29" r:id="rId28"/>
    <sheet name="Andres Carvajal" sheetId="30" r:id="rId29"/>
    <sheet name="Akshat Turlybayev" sheetId="31" r:id="rId30"/>
    <sheet name="Rodrigo Feliu" sheetId="32" r:id="rId31"/>
    <sheet name="Gustavo Plaza" sheetId="33" r:id="rId32"/>
    <sheet name="Daniel Parra" sheetId="34" r:id="rId33"/>
    <sheet name="Valeria Rincon" sheetId="35" r:id="rId34"/>
    <sheet name="Franco Rivero" sheetId="36" r:id="rId35"/>
    <sheet name="Ricardo Vielma" sheetId="37" r:id="rId36"/>
    <sheet name="Javier Ajjam" sheetId="38" r:id="rId37"/>
    <sheet name="Javier Ochoa" sheetId="39" r:id="rId38"/>
    <sheet name="Felipe Silva Ardila" sheetId="40" r:id="rId39"/>
    <sheet name="Javier Nunez" sheetId="41" r:id="rId40"/>
    <sheet name="Luis Parilli" sheetId="42" r:id="rId41"/>
    <sheet name="Erika Guillen" sheetId="43" r:id="rId42"/>
    <sheet name="Antonio L. Gonzalez" sheetId="44" r:id="rId43"/>
    <sheet name="Jorge Gimenez" sheetId="45" r:id="rId44"/>
    <sheet name="Tomas Zirczy" sheetId="46" r:id="rId45"/>
    <sheet name="Hernando Lopez" sheetId="47" r:id="rId46"/>
    <sheet name="Luis G Parra" sheetId="48" r:id="rId47"/>
    <sheet name="Pablo Ruggeri" sheetId="49" r:id="rId48"/>
    <sheet name="Manuel Godin" sheetId="51" r:id="rId49"/>
    <sheet name="Nayeem Khalid" sheetId="52" r:id="rId50"/>
    <sheet name="Matt Mciver" sheetId="54" r:id="rId51"/>
  </sheets>
  <functionGroups builtInGroupCount="17"/>
  <externalReferences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</externalReferences>
  <definedNames>
    <definedName name="_xlnm._FilterDatabase" localSheetId="16" hidden="1">Config!$D$1:$M$65</definedName>
    <definedName name="Alemania">Config!$P$25</definedName>
    <definedName name="Argelia">Config!$P$30</definedName>
    <definedName name="Argentina">Config!$P$21</definedName>
    <definedName name="Australia">Config!$P$8</definedName>
    <definedName name="Belgica">Config!$P$29</definedName>
    <definedName name="Bosnia">Config!$P$22</definedName>
    <definedName name="Brasil">Config!$P$1</definedName>
    <definedName name="Camerun">Config!$P$4</definedName>
    <definedName name="cFiltro" localSheetId="29">[1]Estadisticas!$A$2</definedName>
    <definedName name="cFiltro" localSheetId="28">[2]Estadisticas!$A$2</definedName>
    <definedName name="cFiltro" localSheetId="23">[3]Estadisticas!$A$2</definedName>
    <definedName name="cFiltro" localSheetId="42">[4]Estadisticas!$A$2</definedName>
    <definedName name="cFiltro" localSheetId="25">[5]Estadisticas!$A$2</definedName>
    <definedName name="cFiltro" localSheetId="27">[6]Estadisticas!$A$2</definedName>
    <definedName name="cFiltro" localSheetId="32">[7]Estadisticas!$A$2</definedName>
    <definedName name="cFiltro" localSheetId="41">[8]Estadisticas!$A$2</definedName>
    <definedName name="cFiltro" localSheetId="38">[9]Estadisticas!$A$2</definedName>
    <definedName name="cFiltro" localSheetId="34">[10]Estadisticas!$A$2</definedName>
    <definedName name="cFiltro" localSheetId="31">[11]Estadisticas!$A$2</definedName>
    <definedName name="cFiltro" localSheetId="45">[12]Estadisticas!$A$2</definedName>
    <definedName name="cFiltro" localSheetId="36">[13]Estadisticas!$A$2</definedName>
    <definedName name="cFiltro" localSheetId="39">[14]Estadisticas!$A$2</definedName>
    <definedName name="cFiltro" localSheetId="37">[14]Estadisticas!$A$2</definedName>
    <definedName name="cFiltro" localSheetId="26">[15]Estadisticas!$A$2</definedName>
    <definedName name="cFiltro" localSheetId="43">[4]Estadisticas!$A$2</definedName>
    <definedName name="cFiltro" localSheetId="24">[5]Estadisticas!$A$2</definedName>
    <definedName name="cFiltro" localSheetId="46">#REF!</definedName>
    <definedName name="cFiltro" localSheetId="40">[16]Estadisticas!$A$2</definedName>
    <definedName name="cFiltro" localSheetId="48">[17]Estadisticas!$A$2</definedName>
    <definedName name="cFiltro" localSheetId="22">[18]Estadisticas!$A$2</definedName>
    <definedName name="cFiltro" localSheetId="50">[24]Estadisticas!$A$2</definedName>
    <definedName name="cFiltro" localSheetId="49">[19]Estadisticas!$A$2</definedName>
    <definedName name="cFiltro" localSheetId="47">[20]Estadisticas!$A$2</definedName>
    <definedName name="cFiltro" localSheetId="35">[5]Estadisticas!$A$2</definedName>
    <definedName name="cFiltro" localSheetId="30">[21]Estadisticas!$A$2</definedName>
    <definedName name="cFiltro" localSheetId="44">[22]Estadisticas!$A$2</definedName>
    <definedName name="cFiltro" localSheetId="33">[23]Estadisticas!$A$2</definedName>
    <definedName name="cFiltro">Estadisticas!$A$2</definedName>
    <definedName name="Chile">Config!$P$6</definedName>
    <definedName name="Colombia">Config!$P$9</definedName>
    <definedName name="CoreaDelSur">Config!$P$32</definedName>
    <definedName name="CostaDeMarfil">Config!$P$10</definedName>
    <definedName name="CostaRica">Config!$P$15</definedName>
    <definedName name="Croacia">Config!$P$3</definedName>
    <definedName name="cUsoPenal" localSheetId="29">[1]Puntos!$I$23</definedName>
    <definedName name="cUsoPenal" localSheetId="28">[2]Puntos!$I$23</definedName>
    <definedName name="cUsoPenal" localSheetId="23">[3]Puntos!$I$23</definedName>
    <definedName name="cUsoPenal" localSheetId="42">[4]Puntos!$I$23</definedName>
    <definedName name="cUsoPenal" localSheetId="25">[5]Puntos!$I$23</definedName>
    <definedName name="cUsoPenal" localSheetId="27">[6]Puntos!$I$23</definedName>
    <definedName name="cUsoPenal" localSheetId="32">[7]Puntos!$I$23</definedName>
    <definedName name="cUsoPenal" localSheetId="41">[8]Puntos!$I$23</definedName>
    <definedName name="cUsoPenal" localSheetId="38">[9]Puntos!$I$23</definedName>
    <definedName name="cUsoPenal" localSheetId="34">[10]Puntos!$I$23</definedName>
    <definedName name="cUsoPenal" localSheetId="31">[11]Puntos!$I$23</definedName>
    <definedName name="cUsoPenal" localSheetId="45">[12]Puntos!$I$23</definedName>
    <definedName name="cUsoPenal" localSheetId="36">[13]Puntos!$I$23</definedName>
    <definedName name="cUsoPenal" localSheetId="39">[14]Puntos!$I$23</definedName>
    <definedName name="cUsoPenal" localSheetId="37">[14]Puntos!$I$23</definedName>
    <definedName name="cUsoPenal" localSheetId="26">[15]Puntos!$I$23</definedName>
    <definedName name="cUsoPenal" localSheetId="43">[4]Puntos!$I$23</definedName>
    <definedName name="cUsoPenal" localSheetId="24">[5]Puntos!$I$23</definedName>
    <definedName name="cUsoPenal" localSheetId="46">#REF!</definedName>
    <definedName name="cUsoPenal" localSheetId="40">[16]Puntos!$I$23</definedName>
    <definedName name="cUsoPenal" localSheetId="48">[17]Puntos!$I$23</definedName>
    <definedName name="cUsoPenal" localSheetId="22">[18]Puntos!$I$23</definedName>
    <definedName name="cUsoPenal" localSheetId="50">[24]Puntos!$I$23</definedName>
    <definedName name="cUsoPenal" localSheetId="49">[19]Puntos!$I$23</definedName>
    <definedName name="cUsoPenal" localSheetId="47">[20]Puntos!$I$23</definedName>
    <definedName name="cUsoPenal" localSheetId="35">[5]Puntos!$I$23</definedName>
    <definedName name="cUsoPenal" localSheetId="30">[21]Puntos!$I$23</definedName>
    <definedName name="cUsoPenal" localSheetId="44">[22]Puntos!$I$23</definedName>
    <definedName name="cUsoPenal" localSheetId="33">[23]Puntos!$I$23</definedName>
    <definedName name="cUsoPenal">Puntos!$I$23</definedName>
    <definedName name="Ecuador">Config!$P$18</definedName>
    <definedName name="España">Config!$P$5</definedName>
    <definedName name="FN_Campeon" localSheetId="29">INDIRECT(VLOOKUP('[1]3er puesto y FINAL'!$I$14,'Akshat Turlybayev'!tblEquipos,3,FALSE))</definedName>
    <definedName name="FN_Campeon" localSheetId="28">INDIRECT(VLOOKUP('[2]3er puesto y FINAL'!$I$14,'Andres Carvajal'!tblEquipos,3,FALSE))</definedName>
    <definedName name="FN_Campeon" localSheetId="23">INDIRECT(VLOOKUP('[3]3er puesto y FINAL'!$I$14,'Antonio J'!tblEquipos,3,FALSE))</definedName>
    <definedName name="FN_Campeon" localSheetId="42">INDIRECT(VLOOKUP('[4]3er puesto y FINAL'!$I$14,'Antonio L. Gonzalez'!tblEquipos,3,FALSE))</definedName>
    <definedName name="FN_Campeon" localSheetId="25">INDIRECT(VLOOKUP('[5]3er puesto y FINAL'!$I$14,'Cristina Gonzalez'!tblEquipos,3,FALSE))</definedName>
    <definedName name="FN_Campeon" localSheetId="27">INDIRECT(VLOOKUP('[6]3er puesto y FINAL'!$I$14,'Daniel Alonzo'!tblEquipos,3,FALSE))</definedName>
    <definedName name="FN_Campeon" localSheetId="32">INDIRECT(VLOOKUP('[7]3er puesto y FINAL'!$I$14,'Daniel Parra'!tblEquipos,3,FALSE))</definedName>
    <definedName name="FN_Campeon" localSheetId="41">INDIRECT(VLOOKUP('[8]3er puesto y FINAL'!$I$14,'Erika Guillen'!tblEquipos,3,FALSE))</definedName>
    <definedName name="FN_Campeon" localSheetId="38">INDIRECT(VLOOKUP('[9]3er puesto y FINAL'!$I$14,'Felipe Silva Ardila'!tblEquipos,3,FALSE))</definedName>
    <definedName name="FN_Campeon" localSheetId="34">INDIRECT(VLOOKUP('[10]3er puesto y FINAL'!$I$14,'Franco Rivero'!tblEquipos,3,FALSE))</definedName>
    <definedName name="FN_Campeon" localSheetId="31">INDIRECT(VLOOKUP('[11]3er puesto y FINAL'!$I$14,'Gustavo Plaza'!tblEquipos,3,FALSE))</definedName>
    <definedName name="FN_Campeon" localSheetId="45">INDIRECT(VLOOKUP('[12]3er puesto y FINAL'!$I$14,'Hernando Lopez'!tblEquipos,3,FALSE))</definedName>
    <definedName name="FN_Campeon" localSheetId="36">INDIRECT(VLOOKUP('[13]3er puesto y FINAL'!$I$14,'Javier Ajjam'!tblEquipos,3,FALSE))</definedName>
    <definedName name="FN_Campeon" localSheetId="39">INDIRECT(VLOOKUP('[14]3er puesto y FINAL'!$I$14,'Javier Nunez'!tblEquipos,3,FALSE))</definedName>
    <definedName name="FN_Campeon" localSheetId="37">INDIRECT(VLOOKUP('[14]3er puesto y FINAL'!$I$14,'Javier Ochoa'!tblEquipos,3,FALSE))</definedName>
    <definedName name="FN_Campeon" localSheetId="26">INDIRECT(VLOOKUP('[15]3er puesto y FINAL'!$I$14,'Jessica Gonzalez'!tblEquipos,3,FALSE))</definedName>
    <definedName name="FN_Campeon" localSheetId="43">INDIRECT(VLOOKUP('[4]3er puesto y FINAL'!$I$14,'Jorge Gimenez'!tblEquipos,3,FALSE))</definedName>
    <definedName name="FN_Campeon" localSheetId="24">INDIRECT(VLOOKUP('[5]3er puesto y FINAL'!$I$14,'Luis Escamillo'!tblEquipos,3,FALSE))</definedName>
    <definedName name="FN_Campeon" localSheetId="46">INDIRECT(VLOOKUP(#REF!,'Luis G Parra'!tblEquipos,3,FALSE))</definedName>
    <definedName name="FN_Campeon" localSheetId="40">INDIRECT(VLOOKUP('[16]3er puesto y FINAL'!$I$14,'Luis Parilli'!tblEquipos,3,FALSE))</definedName>
    <definedName name="FN_Campeon" localSheetId="48">INDIRECT(VLOOKUP('[17]3er puesto y FINAL'!$I$14,'Manuel Godin'!tblEquipos,3,FALSE))</definedName>
    <definedName name="FN_Campeon" localSheetId="22">INDIRECT(VLOOKUP('[18]3er puesto y FINAL'!$I$14,'Manuel Godoy'!tblEquipos,3,FALSE))</definedName>
    <definedName name="FN_Campeon" localSheetId="50">INDIRECT(VLOOKUP('[24]3er puesto y FINAL'!$I$14,'Matt Mciver'!tblEquipos,3,FALSE))</definedName>
    <definedName name="FN_Campeon" localSheetId="49">INDIRECT(VLOOKUP('[19]3er puesto y FINAL'!$I$14,'Nayeem Khalid'!tblEquipos,3,FALSE))</definedName>
    <definedName name="FN_Campeon" localSheetId="47">INDIRECT(VLOOKUP('[20]3er puesto y FINAL'!$I$14,'Pablo Ruggeri'!tblEquipos,3,FALSE))</definedName>
    <definedName name="FN_Campeon" localSheetId="35">INDIRECT(VLOOKUP('[5]3er puesto y FINAL'!$I$14,'Ricardo Vielma'!tblEquipos,3,FALSE))</definedName>
    <definedName name="FN_Campeon" localSheetId="30">INDIRECT(VLOOKUP('[21]3er puesto y FINAL'!$I$14,'Rodrigo Feliu'!tblEquipos,3,FALSE))</definedName>
    <definedName name="FN_Campeon" localSheetId="44">INDIRECT(VLOOKUP('[22]3er puesto y FINAL'!$I$14,'Tomas Zirczy'!tblEquipos,3,FALSE))</definedName>
    <definedName name="FN_Campeon" localSheetId="33">INDIRECT(VLOOKUP('[23]3er puesto y FINAL'!$I$14,'Valeria Rincon'!tblEquipos,3,FALSE))</definedName>
    <definedName name="FN_Campeon">INDIRECT(VLOOKUP('3er puesto y FINAL'!$I$14,tblEquipos,3,FALSE))</definedName>
    <definedName name="Francia">Config!$P$20</definedName>
    <definedName name="GA_C1" localSheetId="29">INDIRECT(VLOOKUP('[1]- A -'!$G$17,'Akshat Turlybayev'!tblEquipos,3,FALSE))</definedName>
    <definedName name="GA_C1" localSheetId="28">INDIRECT(VLOOKUP('[2]- A -'!$G$17,'Andres Carvajal'!tblEquipos,3,FALSE))</definedName>
    <definedName name="GA_C1" localSheetId="23">INDIRECT(VLOOKUP('[3]- A -'!$G$17,'Antonio J'!tblEquipos,3,FALSE))</definedName>
    <definedName name="GA_C1" localSheetId="42">INDIRECT(VLOOKUP('[4]- A -'!$G$17,'Antonio L. Gonzalez'!tblEquipos,3,FALSE))</definedName>
    <definedName name="GA_C1" localSheetId="25">INDIRECT(VLOOKUP('[5]- A -'!$G$17,'Cristina Gonzalez'!tblEquipos,3,FALSE))</definedName>
    <definedName name="GA_C1" localSheetId="27">INDIRECT(VLOOKUP('[6]- A -'!$G$17,'Daniel Alonzo'!tblEquipos,3,FALSE))</definedName>
    <definedName name="GA_C1" localSheetId="32">INDIRECT(VLOOKUP('[7]- A -'!$G$17,'Daniel Parra'!tblEquipos,3,FALSE))</definedName>
    <definedName name="GA_C1" localSheetId="41">INDIRECT(VLOOKUP('[8]- A -'!$G$17,'Erika Guillen'!tblEquipos,3,FALSE))</definedName>
    <definedName name="GA_C1" localSheetId="38">INDIRECT(VLOOKUP('[9]- A -'!$G$17,'Felipe Silva Ardila'!tblEquipos,3,FALSE))</definedName>
    <definedName name="GA_C1" localSheetId="34">INDIRECT(VLOOKUP('[10]- A -'!$G$17,'Franco Rivero'!tblEquipos,3,FALSE))</definedName>
    <definedName name="GA_C1" localSheetId="31">INDIRECT(VLOOKUP('[11]- A -'!$G$17,'Gustavo Plaza'!tblEquipos,3,FALSE))</definedName>
    <definedName name="GA_C1" localSheetId="45">INDIRECT(VLOOKUP('[12]- A -'!$G$17,'Hernando Lopez'!tblEquipos,3,FALSE))</definedName>
    <definedName name="GA_C1" localSheetId="36">INDIRECT(VLOOKUP('[13]- A -'!$G$17,'Javier Ajjam'!tblEquipos,3,FALSE))</definedName>
    <definedName name="GA_C1" localSheetId="39">INDIRECT(VLOOKUP('[14]- A -'!$G$17,'Javier Nunez'!tblEquipos,3,FALSE))</definedName>
    <definedName name="GA_C1" localSheetId="37">INDIRECT(VLOOKUP('[14]- A -'!$G$17,'Javier Ochoa'!tblEquipos,3,FALSE))</definedName>
    <definedName name="GA_C1" localSheetId="26">INDIRECT(VLOOKUP('[15]- A -'!$G$17,'Jessica Gonzalez'!tblEquipos,3,FALSE))</definedName>
    <definedName name="GA_C1" localSheetId="43">INDIRECT(VLOOKUP('[4]- A -'!$G$17,'Jorge Gimenez'!tblEquipos,3,FALSE))</definedName>
    <definedName name="GA_C1" localSheetId="24">INDIRECT(VLOOKUP('[5]- A -'!$G$17,'Luis Escamillo'!tblEquipos,3,FALSE))</definedName>
    <definedName name="GA_C1" localSheetId="46">INDIRECT(VLOOKUP(#REF!,'Luis G Parra'!tblEquipos,3,FALSE))</definedName>
    <definedName name="GA_C1" localSheetId="40">INDIRECT(VLOOKUP('[16]- A -'!$G$17,'Luis Parilli'!tblEquipos,3,FALSE))</definedName>
    <definedName name="GA_C1" localSheetId="48">INDIRECT(VLOOKUP('[17]- A -'!$G$17,'Manuel Godin'!tblEquipos,3,FALSE))</definedName>
    <definedName name="GA_C1" localSheetId="22">INDIRECT(VLOOKUP('[18]- A -'!$G$17,'Manuel Godoy'!tblEquipos,3,FALSE))</definedName>
    <definedName name="GA_C1" localSheetId="50">INDIRECT(VLOOKUP('[24]- A -'!$G$17,'Matt Mciver'!tblEquipos,3,FALSE))</definedName>
    <definedName name="GA_C1" localSheetId="49">INDIRECT(VLOOKUP('[19]- A -'!$G$17,'Nayeem Khalid'!tblEquipos,3,FALSE))</definedName>
    <definedName name="GA_C1" localSheetId="47">INDIRECT(VLOOKUP('[20]- A -'!$G$17,'Pablo Ruggeri'!tblEquipos,3,FALSE))</definedName>
    <definedName name="GA_C1" localSheetId="35">INDIRECT(VLOOKUP('[5]- A -'!$G$17,'Ricardo Vielma'!tblEquipos,3,FALSE))</definedName>
    <definedName name="GA_C1" localSheetId="30">INDIRECT(VLOOKUP('[21]- A -'!$G$17,'Rodrigo Feliu'!tblEquipos,3,FALSE))</definedName>
    <definedName name="GA_C1" localSheetId="44">INDIRECT(VLOOKUP('[22]- A -'!$G$17,'Tomas Zirczy'!tblEquipos,3,FALSE))</definedName>
    <definedName name="GA_C1" localSheetId="33">INDIRECT(VLOOKUP('[23]- A -'!$G$17,'Valeria Rincon'!tblEquipos,3,FALSE))</definedName>
    <definedName name="GA_C1">INDIRECT(VLOOKUP('- A -'!$G$17,tblEquipos,3,FALSE))</definedName>
    <definedName name="GA_C2" localSheetId="29">INDIRECT(VLOOKUP('[1]- A -'!$G$18,'Akshat Turlybayev'!tblEquipos,3,FALSE))</definedName>
    <definedName name="GA_C2" localSheetId="28">INDIRECT(VLOOKUP('[2]- A -'!$G$18,'Andres Carvajal'!tblEquipos,3,FALSE))</definedName>
    <definedName name="GA_C2" localSheetId="23">INDIRECT(VLOOKUP('[3]- A -'!$G$18,'Antonio J'!tblEquipos,3,FALSE))</definedName>
    <definedName name="GA_C2" localSheetId="42">INDIRECT(VLOOKUP('[4]- A -'!$G$18,'Antonio L. Gonzalez'!tblEquipos,3,FALSE))</definedName>
    <definedName name="GA_C2" localSheetId="25">INDIRECT(VLOOKUP('[5]- A -'!$G$18,'Cristina Gonzalez'!tblEquipos,3,FALSE))</definedName>
    <definedName name="GA_C2" localSheetId="27">INDIRECT(VLOOKUP('[6]- A -'!$G$18,'Daniel Alonzo'!tblEquipos,3,FALSE))</definedName>
    <definedName name="GA_C2" localSheetId="32">INDIRECT(VLOOKUP('[7]- A -'!$G$18,'Daniel Parra'!tblEquipos,3,FALSE))</definedName>
    <definedName name="GA_C2" localSheetId="41">INDIRECT(VLOOKUP('[8]- A -'!$G$18,'Erika Guillen'!tblEquipos,3,FALSE))</definedName>
    <definedName name="GA_C2" localSheetId="38">INDIRECT(VLOOKUP('[9]- A -'!$G$18,'Felipe Silva Ardila'!tblEquipos,3,FALSE))</definedName>
    <definedName name="GA_C2" localSheetId="34">INDIRECT(VLOOKUP('[10]- A -'!$G$18,'Franco Rivero'!tblEquipos,3,FALSE))</definedName>
    <definedName name="GA_C2" localSheetId="31">INDIRECT(VLOOKUP('[11]- A -'!$G$18,'Gustavo Plaza'!tblEquipos,3,FALSE))</definedName>
    <definedName name="GA_C2" localSheetId="45">INDIRECT(VLOOKUP('[12]- A -'!$G$18,'Hernando Lopez'!tblEquipos,3,FALSE))</definedName>
    <definedName name="GA_C2" localSheetId="36">INDIRECT(VLOOKUP('[13]- A -'!$G$18,'Javier Ajjam'!tblEquipos,3,FALSE))</definedName>
    <definedName name="GA_C2" localSheetId="39">INDIRECT(VLOOKUP('[14]- A -'!$G$18,'Javier Nunez'!tblEquipos,3,FALSE))</definedName>
    <definedName name="GA_C2" localSheetId="37">INDIRECT(VLOOKUP('[14]- A -'!$G$18,'Javier Ochoa'!tblEquipos,3,FALSE))</definedName>
    <definedName name="GA_C2" localSheetId="26">INDIRECT(VLOOKUP('[15]- A -'!$G$18,'Jessica Gonzalez'!tblEquipos,3,FALSE))</definedName>
    <definedName name="GA_C2" localSheetId="43">INDIRECT(VLOOKUP('[4]- A -'!$G$18,'Jorge Gimenez'!tblEquipos,3,FALSE))</definedName>
    <definedName name="GA_C2" localSheetId="24">INDIRECT(VLOOKUP('[5]- A -'!$G$18,'Luis Escamillo'!tblEquipos,3,FALSE))</definedName>
    <definedName name="GA_C2" localSheetId="46">INDIRECT(VLOOKUP(#REF!,'Luis G Parra'!tblEquipos,3,FALSE))</definedName>
    <definedName name="GA_C2" localSheetId="40">INDIRECT(VLOOKUP('[16]- A -'!$G$18,'Luis Parilli'!tblEquipos,3,FALSE))</definedName>
    <definedName name="GA_C2" localSheetId="48">INDIRECT(VLOOKUP('[17]- A -'!$G$18,'Manuel Godin'!tblEquipos,3,FALSE))</definedName>
    <definedName name="GA_C2" localSheetId="22">INDIRECT(VLOOKUP('[18]- A -'!$G$18,'Manuel Godoy'!tblEquipos,3,FALSE))</definedName>
    <definedName name="GA_C2" localSheetId="50">INDIRECT(VLOOKUP('[24]- A -'!$G$18,'Matt Mciver'!tblEquipos,3,FALSE))</definedName>
    <definedName name="GA_C2" localSheetId="49">INDIRECT(VLOOKUP('[19]- A -'!$G$18,'Nayeem Khalid'!tblEquipos,3,FALSE))</definedName>
    <definedName name="GA_C2" localSheetId="47">INDIRECT(VLOOKUP('[20]- A -'!$G$18,'Pablo Ruggeri'!tblEquipos,3,FALSE))</definedName>
    <definedName name="GA_C2" localSheetId="35">INDIRECT(VLOOKUP('[5]- A -'!$G$18,'Ricardo Vielma'!tblEquipos,3,FALSE))</definedName>
    <definedName name="GA_C2" localSheetId="30">INDIRECT(VLOOKUP('[21]- A -'!$G$18,'Rodrigo Feliu'!tblEquipos,3,FALSE))</definedName>
    <definedName name="GA_C2" localSheetId="44">INDIRECT(VLOOKUP('[22]- A -'!$G$18,'Tomas Zirczy'!tblEquipos,3,FALSE))</definedName>
    <definedName name="GA_C2" localSheetId="33">INDIRECT(VLOOKUP('[23]- A -'!$G$18,'Valeria Rincon'!tblEquipos,3,FALSE))</definedName>
    <definedName name="GA_C2">INDIRECT(VLOOKUP('- A -'!$G$18,tblEquipos,3,FALSE))</definedName>
    <definedName name="GB_C1" localSheetId="29">INDIRECT(VLOOKUP('[1]- B -'!$G$17,'Akshat Turlybayev'!tblEquipos,3,FALSE))</definedName>
    <definedName name="GB_C1" localSheetId="28">INDIRECT(VLOOKUP('[2]- B -'!$G$17,'Andres Carvajal'!tblEquipos,3,FALSE))</definedName>
    <definedName name="GB_C1" localSheetId="23">INDIRECT(VLOOKUP('[3]- B -'!$G$17,'Antonio J'!tblEquipos,3,FALSE))</definedName>
    <definedName name="GB_C1" localSheetId="42">INDIRECT(VLOOKUP('[4]- B -'!$G$17,'Antonio L. Gonzalez'!tblEquipos,3,FALSE))</definedName>
    <definedName name="GB_C1" localSheetId="25">INDIRECT(VLOOKUP('[5]- B -'!$G$17,'Cristina Gonzalez'!tblEquipos,3,FALSE))</definedName>
    <definedName name="GB_C1" localSheetId="27">INDIRECT(VLOOKUP('[6]- B -'!$G$17,'Daniel Alonzo'!tblEquipos,3,FALSE))</definedName>
    <definedName name="GB_C1" localSheetId="32">INDIRECT(VLOOKUP('[7]- B -'!$G$17,'Daniel Parra'!tblEquipos,3,FALSE))</definedName>
    <definedName name="GB_C1" localSheetId="41">INDIRECT(VLOOKUP('[8]- B -'!$G$17,'Erika Guillen'!tblEquipos,3,FALSE))</definedName>
    <definedName name="GB_C1" localSheetId="38">INDIRECT(VLOOKUP('[9]- B -'!$G$17,'Felipe Silva Ardila'!tblEquipos,3,FALSE))</definedName>
    <definedName name="GB_C1" localSheetId="34">INDIRECT(VLOOKUP('[10]- B -'!$G$17,'Franco Rivero'!tblEquipos,3,FALSE))</definedName>
    <definedName name="GB_C1" localSheetId="31">INDIRECT(VLOOKUP('[11]- B -'!$G$17,'Gustavo Plaza'!tblEquipos,3,FALSE))</definedName>
    <definedName name="GB_C1" localSheetId="45">INDIRECT(VLOOKUP('[12]- B -'!$G$17,'Hernando Lopez'!tblEquipos,3,FALSE))</definedName>
    <definedName name="GB_C1" localSheetId="36">INDIRECT(VLOOKUP('[13]- B -'!$G$17,'Javier Ajjam'!tblEquipos,3,FALSE))</definedName>
    <definedName name="GB_C1" localSheetId="39">INDIRECT(VLOOKUP('[14]- B -'!$G$17,'Javier Nunez'!tblEquipos,3,FALSE))</definedName>
    <definedName name="GB_C1" localSheetId="37">INDIRECT(VLOOKUP('[14]- B -'!$G$17,'Javier Ochoa'!tblEquipos,3,FALSE))</definedName>
    <definedName name="GB_C1" localSheetId="26">INDIRECT(VLOOKUP('[15]- B -'!$G$17,'Jessica Gonzalez'!tblEquipos,3,FALSE))</definedName>
    <definedName name="GB_C1" localSheetId="43">INDIRECT(VLOOKUP('[4]- B -'!$G$17,'Jorge Gimenez'!tblEquipos,3,FALSE))</definedName>
    <definedName name="GB_C1" localSheetId="24">INDIRECT(VLOOKUP('[5]- B -'!$G$17,'Luis Escamillo'!tblEquipos,3,FALSE))</definedName>
    <definedName name="GB_C1" localSheetId="46">INDIRECT(VLOOKUP(#REF!,'Luis G Parra'!tblEquipos,3,FALSE))</definedName>
    <definedName name="GB_C1" localSheetId="40">INDIRECT(VLOOKUP('[16]- B -'!$G$17,'Luis Parilli'!tblEquipos,3,FALSE))</definedName>
    <definedName name="GB_C1" localSheetId="48">INDIRECT(VLOOKUP('[17]- B -'!$G$17,'Manuel Godin'!tblEquipos,3,FALSE))</definedName>
    <definedName name="GB_C1" localSheetId="22">INDIRECT(VLOOKUP('[18]- B -'!$G$17,'Manuel Godoy'!tblEquipos,3,FALSE))</definedName>
    <definedName name="GB_C1" localSheetId="50">INDIRECT(VLOOKUP('[24]- B -'!$G$17,'Matt Mciver'!tblEquipos,3,FALSE))</definedName>
    <definedName name="GB_C1" localSheetId="49">INDIRECT(VLOOKUP('[19]- B -'!$G$17,'Nayeem Khalid'!tblEquipos,3,FALSE))</definedName>
    <definedName name="GB_C1" localSheetId="47">INDIRECT(VLOOKUP('[20]- B -'!$G$17,'Pablo Ruggeri'!tblEquipos,3,FALSE))</definedName>
    <definedName name="GB_C1" localSheetId="35">INDIRECT(VLOOKUP('[5]- B -'!$G$17,'Ricardo Vielma'!tblEquipos,3,FALSE))</definedName>
    <definedName name="GB_C1" localSheetId="30">INDIRECT(VLOOKUP('[21]- B -'!$G$17,'Rodrigo Feliu'!tblEquipos,3,FALSE))</definedName>
    <definedName name="GB_C1" localSheetId="44">INDIRECT(VLOOKUP('[22]- B -'!$G$17,'Tomas Zirczy'!tblEquipos,3,FALSE))</definedName>
    <definedName name="GB_C1" localSheetId="33">INDIRECT(VLOOKUP('[23]- B -'!$G$17,'Valeria Rincon'!tblEquipos,3,FALSE))</definedName>
    <definedName name="GB_C1">INDIRECT(VLOOKUP('- B -'!$G$17,tblEquipos,3,FALSE))</definedName>
    <definedName name="GB_C2" localSheetId="29">INDIRECT(VLOOKUP('[1]- B -'!$G$18,'Akshat Turlybayev'!tblEquipos,3,FALSE))</definedName>
    <definedName name="GB_C2" localSheetId="28">INDIRECT(VLOOKUP('[2]- B -'!$G$18,'Andres Carvajal'!tblEquipos,3,FALSE))</definedName>
    <definedName name="GB_C2" localSheetId="23">INDIRECT(VLOOKUP('[3]- B -'!$G$18,'Antonio J'!tblEquipos,3,FALSE))</definedName>
    <definedName name="GB_C2" localSheetId="42">INDIRECT(VLOOKUP('[4]- B -'!$G$18,'Antonio L. Gonzalez'!tblEquipos,3,FALSE))</definedName>
    <definedName name="GB_C2" localSheetId="25">INDIRECT(VLOOKUP('[5]- B -'!$G$18,'Cristina Gonzalez'!tblEquipos,3,FALSE))</definedName>
    <definedName name="GB_C2" localSheetId="27">INDIRECT(VLOOKUP('[6]- B -'!$G$18,'Daniel Alonzo'!tblEquipos,3,FALSE))</definedName>
    <definedName name="GB_C2" localSheetId="32">INDIRECT(VLOOKUP('[7]- B -'!$G$18,'Daniel Parra'!tblEquipos,3,FALSE))</definedName>
    <definedName name="GB_C2" localSheetId="41">INDIRECT(VLOOKUP('[8]- B -'!$G$18,'Erika Guillen'!tblEquipos,3,FALSE))</definedName>
    <definedName name="GB_C2" localSheetId="38">INDIRECT(VLOOKUP('[9]- B -'!$G$18,'Felipe Silva Ardila'!tblEquipos,3,FALSE))</definedName>
    <definedName name="GB_C2" localSheetId="34">INDIRECT(VLOOKUP('[10]- B -'!$G$18,'Franco Rivero'!tblEquipos,3,FALSE))</definedName>
    <definedName name="GB_C2" localSheetId="31">INDIRECT(VLOOKUP('[11]- B -'!$G$18,'Gustavo Plaza'!tblEquipos,3,FALSE))</definedName>
    <definedName name="GB_C2" localSheetId="45">INDIRECT(VLOOKUP('[12]- B -'!$G$18,'Hernando Lopez'!tblEquipos,3,FALSE))</definedName>
    <definedName name="GB_C2" localSheetId="36">INDIRECT(VLOOKUP('[13]- B -'!$G$18,'Javier Ajjam'!tblEquipos,3,FALSE))</definedName>
    <definedName name="GB_C2" localSheetId="39">INDIRECT(VLOOKUP('[14]- B -'!$G$18,'Javier Nunez'!tblEquipos,3,FALSE))</definedName>
    <definedName name="GB_C2" localSheetId="37">INDIRECT(VLOOKUP('[14]- B -'!$G$18,'Javier Ochoa'!tblEquipos,3,FALSE))</definedName>
    <definedName name="GB_C2" localSheetId="26">INDIRECT(VLOOKUP('[15]- B -'!$G$18,'Jessica Gonzalez'!tblEquipos,3,FALSE))</definedName>
    <definedName name="GB_C2" localSheetId="43">INDIRECT(VLOOKUP('[4]- B -'!$G$18,'Jorge Gimenez'!tblEquipos,3,FALSE))</definedName>
    <definedName name="GB_C2" localSheetId="24">INDIRECT(VLOOKUP('[5]- B -'!$G$18,'Luis Escamillo'!tblEquipos,3,FALSE))</definedName>
    <definedName name="GB_C2" localSheetId="46">INDIRECT(VLOOKUP(#REF!,'Luis G Parra'!tblEquipos,3,FALSE))</definedName>
    <definedName name="GB_C2" localSheetId="40">INDIRECT(VLOOKUP('[16]- B -'!$G$18,'Luis Parilli'!tblEquipos,3,FALSE))</definedName>
    <definedName name="GB_C2" localSheetId="48">INDIRECT(VLOOKUP('[17]- B -'!$G$18,'Manuel Godin'!tblEquipos,3,FALSE))</definedName>
    <definedName name="GB_C2" localSheetId="22">INDIRECT(VLOOKUP('[18]- B -'!$G$18,'Manuel Godoy'!tblEquipos,3,FALSE))</definedName>
    <definedName name="GB_C2" localSheetId="50">INDIRECT(VLOOKUP('[24]- B -'!$G$18,'Matt Mciver'!tblEquipos,3,FALSE))</definedName>
    <definedName name="GB_C2" localSheetId="49">INDIRECT(VLOOKUP('[19]- B -'!$G$18,'Nayeem Khalid'!tblEquipos,3,FALSE))</definedName>
    <definedName name="GB_C2" localSheetId="47">INDIRECT(VLOOKUP('[20]- B -'!$G$18,'Pablo Ruggeri'!tblEquipos,3,FALSE))</definedName>
    <definedName name="GB_C2" localSheetId="35">INDIRECT(VLOOKUP('[5]- B -'!$G$18,'Ricardo Vielma'!tblEquipos,3,FALSE))</definedName>
    <definedName name="GB_C2" localSheetId="30">INDIRECT(VLOOKUP('[21]- B -'!$G$18,'Rodrigo Feliu'!tblEquipos,3,FALSE))</definedName>
    <definedName name="GB_C2" localSheetId="44">INDIRECT(VLOOKUP('[22]- B -'!$G$18,'Tomas Zirczy'!tblEquipos,3,FALSE))</definedName>
    <definedName name="GB_C2" localSheetId="33">INDIRECT(VLOOKUP('[23]- B -'!$G$18,'Valeria Rincon'!tblEquipos,3,FALSE))</definedName>
    <definedName name="GB_C2">INDIRECT(VLOOKUP('- B -'!$G$18,tblEquipos,3,FALSE))</definedName>
    <definedName name="GC_C1" localSheetId="29">INDIRECT(VLOOKUP('[1]- C -'!$G$17,'Akshat Turlybayev'!tblEquipos,3,FALSE))</definedName>
    <definedName name="GC_C1" localSheetId="28">INDIRECT(VLOOKUP('[2]- C -'!$G$17,'Andres Carvajal'!tblEquipos,3,FALSE))</definedName>
    <definedName name="GC_C1" localSheetId="23">INDIRECT(VLOOKUP('[3]- C -'!$G$17,'Antonio J'!tblEquipos,3,FALSE))</definedName>
    <definedName name="GC_C1" localSheetId="42">INDIRECT(VLOOKUP('[4]- C -'!$G$17,'Antonio L. Gonzalez'!tblEquipos,3,FALSE))</definedName>
    <definedName name="GC_C1" localSheetId="25">INDIRECT(VLOOKUP('[5]- C -'!$G$17,'Cristina Gonzalez'!tblEquipos,3,FALSE))</definedName>
    <definedName name="GC_C1" localSheetId="27">INDIRECT(VLOOKUP('[6]- C -'!$G$17,'Daniel Alonzo'!tblEquipos,3,FALSE))</definedName>
    <definedName name="GC_C1" localSheetId="32">INDIRECT(VLOOKUP('[7]- C -'!$G$17,'Daniel Parra'!tblEquipos,3,FALSE))</definedName>
    <definedName name="GC_C1" localSheetId="41">INDIRECT(VLOOKUP('[8]- C -'!$G$17,'Erika Guillen'!tblEquipos,3,FALSE))</definedName>
    <definedName name="GC_C1" localSheetId="38">INDIRECT(VLOOKUP('[9]- C -'!$G$17,'Felipe Silva Ardila'!tblEquipos,3,FALSE))</definedName>
    <definedName name="GC_C1" localSheetId="34">INDIRECT(VLOOKUP('[10]- C -'!$G$17,'Franco Rivero'!tblEquipos,3,FALSE))</definedName>
    <definedName name="GC_C1" localSheetId="31">INDIRECT(VLOOKUP('[11]- C -'!$G$17,'Gustavo Plaza'!tblEquipos,3,FALSE))</definedName>
    <definedName name="GC_C1" localSheetId="45">INDIRECT(VLOOKUP('[12]- C -'!$G$17,'Hernando Lopez'!tblEquipos,3,FALSE))</definedName>
    <definedName name="GC_C1" localSheetId="36">INDIRECT(VLOOKUP('[13]- C -'!$G$17,'Javier Ajjam'!tblEquipos,3,FALSE))</definedName>
    <definedName name="GC_C1" localSheetId="39">INDIRECT(VLOOKUP('[14]- C -'!$G$17,'Javier Nunez'!tblEquipos,3,FALSE))</definedName>
    <definedName name="GC_C1" localSheetId="37">INDIRECT(VLOOKUP('[14]- C -'!$G$17,'Javier Ochoa'!tblEquipos,3,FALSE))</definedName>
    <definedName name="GC_C1" localSheetId="26">INDIRECT(VLOOKUP('[15]- C -'!$G$17,'Jessica Gonzalez'!tblEquipos,3,FALSE))</definedName>
    <definedName name="GC_C1" localSheetId="43">INDIRECT(VLOOKUP('[4]- C -'!$G$17,'Jorge Gimenez'!tblEquipos,3,FALSE))</definedName>
    <definedName name="GC_C1" localSheetId="24">INDIRECT(VLOOKUP('[5]- C -'!$G$17,'Luis Escamillo'!tblEquipos,3,FALSE))</definedName>
    <definedName name="GC_C1" localSheetId="46">INDIRECT(VLOOKUP(#REF!,'Luis G Parra'!tblEquipos,3,FALSE))</definedName>
    <definedName name="GC_C1" localSheetId="40">INDIRECT(VLOOKUP('[16]- C -'!$G$17,'Luis Parilli'!tblEquipos,3,FALSE))</definedName>
    <definedName name="GC_C1" localSheetId="48">INDIRECT(VLOOKUP('[17]- C -'!$G$17,'Manuel Godin'!tblEquipos,3,FALSE))</definedName>
    <definedName name="GC_C1" localSheetId="22">INDIRECT(VLOOKUP('[18]- C -'!$G$17,'Manuel Godoy'!tblEquipos,3,FALSE))</definedName>
    <definedName name="GC_C1" localSheetId="50">INDIRECT(VLOOKUP('[24]- C -'!$G$17,'Matt Mciver'!tblEquipos,3,FALSE))</definedName>
    <definedName name="GC_C1" localSheetId="49">INDIRECT(VLOOKUP('[19]- C -'!$G$17,'Nayeem Khalid'!tblEquipos,3,FALSE))</definedName>
    <definedName name="GC_C1" localSheetId="47">INDIRECT(VLOOKUP('[20]- C -'!$G$17,'Pablo Ruggeri'!tblEquipos,3,FALSE))</definedName>
    <definedName name="GC_C1" localSheetId="35">INDIRECT(VLOOKUP('[5]- C -'!$G$17,'Ricardo Vielma'!tblEquipos,3,FALSE))</definedName>
    <definedName name="GC_C1" localSheetId="30">INDIRECT(VLOOKUP('[21]- C -'!$G$17,'Rodrigo Feliu'!tblEquipos,3,FALSE))</definedName>
    <definedName name="GC_C1" localSheetId="44">INDIRECT(VLOOKUP('[22]- C -'!$G$17,'Tomas Zirczy'!tblEquipos,3,FALSE))</definedName>
    <definedName name="GC_C1" localSheetId="33">INDIRECT(VLOOKUP('[23]- C -'!$G$17,'Valeria Rincon'!tblEquipos,3,FALSE))</definedName>
    <definedName name="GC_C1">INDIRECT(VLOOKUP('- C -'!$G$17,tblEquipos,3,FALSE))</definedName>
    <definedName name="GC_C2" localSheetId="29">INDIRECT(VLOOKUP('[1]- C -'!$G$18,'Akshat Turlybayev'!tblEquipos,3,FALSE))</definedName>
    <definedName name="GC_C2" localSheetId="28">INDIRECT(VLOOKUP('[2]- C -'!$G$18,'Andres Carvajal'!tblEquipos,3,FALSE))</definedName>
    <definedName name="GC_C2" localSheetId="23">INDIRECT(VLOOKUP('[3]- C -'!$G$18,'Antonio J'!tblEquipos,3,FALSE))</definedName>
    <definedName name="GC_C2" localSheetId="42">INDIRECT(VLOOKUP('[4]- C -'!$G$18,'Antonio L. Gonzalez'!tblEquipos,3,FALSE))</definedName>
    <definedName name="GC_C2" localSheetId="25">INDIRECT(VLOOKUP('[5]- C -'!$G$18,'Cristina Gonzalez'!tblEquipos,3,FALSE))</definedName>
    <definedName name="GC_C2" localSheetId="27">INDIRECT(VLOOKUP('[6]- C -'!$G$18,'Daniel Alonzo'!tblEquipos,3,FALSE))</definedName>
    <definedName name="GC_C2" localSheetId="32">INDIRECT(VLOOKUP('[7]- C -'!$G$18,'Daniel Parra'!tblEquipos,3,FALSE))</definedName>
    <definedName name="GC_C2" localSheetId="41">INDIRECT(VLOOKUP('[8]- C -'!$G$18,'Erika Guillen'!tblEquipos,3,FALSE))</definedName>
    <definedName name="GC_C2" localSheetId="38">INDIRECT(VLOOKUP('[9]- C -'!$G$18,'Felipe Silva Ardila'!tblEquipos,3,FALSE))</definedName>
    <definedName name="GC_C2" localSheetId="34">INDIRECT(VLOOKUP('[10]- C -'!$G$18,'Franco Rivero'!tblEquipos,3,FALSE))</definedName>
    <definedName name="GC_C2" localSheetId="31">INDIRECT(VLOOKUP('[11]- C -'!$G$18,'Gustavo Plaza'!tblEquipos,3,FALSE))</definedName>
    <definedName name="GC_C2" localSheetId="45">INDIRECT(VLOOKUP('[12]- C -'!$G$18,'Hernando Lopez'!tblEquipos,3,FALSE))</definedName>
    <definedName name="GC_C2" localSheetId="36">INDIRECT(VLOOKUP('[13]- C -'!$G$18,'Javier Ajjam'!tblEquipos,3,FALSE))</definedName>
    <definedName name="GC_C2" localSheetId="39">INDIRECT(VLOOKUP('[14]- C -'!$G$18,'Javier Nunez'!tblEquipos,3,FALSE))</definedName>
    <definedName name="GC_C2" localSheetId="37">INDIRECT(VLOOKUP('[14]- C -'!$G$18,'Javier Ochoa'!tblEquipos,3,FALSE))</definedName>
    <definedName name="GC_C2" localSheetId="26">INDIRECT(VLOOKUP('[15]- C -'!$G$18,'Jessica Gonzalez'!tblEquipos,3,FALSE))</definedName>
    <definedName name="GC_C2" localSheetId="43">INDIRECT(VLOOKUP('[4]- C -'!$G$18,'Jorge Gimenez'!tblEquipos,3,FALSE))</definedName>
    <definedName name="GC_C2" localSheetId="24">INDIRECT(VLOOKUP('[5]- C -'!$G$18,'Luis Escamillo'!tblEquipos,3,FALSE))</definedName>
    <definedName name="GC_C2" localSheetId="46">INDIRECT(VLOOKUP(#REF!,'Luis G Parra'!tblEquipos,3,FALSE))</definedName>
    <definedName name="GC_C2" localSheetId="40">INDIRECT(VLOOKUP('[16]- C -'!$G$18,'Luis Parilli'!tblEquipos,3,FALSE))</definedName>
    <definedName name="GC_C2" localSheetId="48">INDIRECT(VLOOKUP('[17]- C -'!$G$18,'Manuel Godin'!tblEquipos,3,FALSE))</definedName>
    <definedName name="GC_C2" localSheetId="22">INDIRECT(VLOOKUP('[18]- C -'!$G$18,'Manuel Godoy'!tblEquipos,3,FALSE))</definedName>
    <definedName name="GC_C2" localSheetId="50">INDIRECT(VLOOKUP('[24]- C -'!$G$18,'Matt Mciver'!tblEquipos,3,FALSE))</definedName>
    <definedName name="GC_C2" localSheetId="49">INDIRECT(VLOOKUP('[19]- C -'!$G$18,'Nayeem Khalid'!tblEquipos,3,FALSE))</definedName>
    <definedName name="GC_C2" localSheetId="47">INDIRECT(VLOOKUP('[20]- C -'!$G$18,'Pablo Ruggeri'!tblEquipos,3,FALSE))</definedName>
    <definedName name="GC_C2" localSheetId="35">INDIRECT(VLOOKUP('[5]- C -'!$G$18,'Ricardo Vielma'!tblEquipos,3,FALSE))</definedName>
    <definedName name="GC_C2" localSheetId="30">INDIRECT(VLOOKUP('[21]- C -'!$G$18,'Rodrigo Feliu'!tblEquipos,3,FALSE))</definedName>
    <definedName name="GC_C2" localSheetId="44">INDIRECT(VLOOKUP('[22]- C -'!$G$18,'Tomas Zirczy'!tblEquipos,3,FALSE))</definedName>
    <definedName name="GC_C2" localSheetId="33">INDIRECT(VLOOKUP('[23]- C -'!$G$18,'Valeria Rincon'!tblEquipos,3,FALSE))</definedName>
    <definedName name="GC_C2">INDIRECT(VLOOKUP('- C -'!$G$18,tblEquipos,3,FALSE))</definedName>
    <definedName name="GD_C1" localSheetId="29">INDIRECT(VLOOKUP('[1]- D -'!$G$17,'Akshat Turlybayev'!tblEquipos,3,FALSE))</definedName>
    <definedName name="GD_C1" localSheetId="28">INDIRECT(VLOOKUP('[2]- D -'!$G$17,'Andres Carvajal'!tblEquipos,3,FALSE))</definedName>
    <definedName name="GD_C1" localSheetId="23">INDIRECT(VLOOKUP('[3]- D -'!$G$17,'Antonio J'!tblEquipos,3,FALSE))</definedName>
    <definedName name="GD_C1" localSheetId="42">INDIRECT(VLOOKUP('[4]- D -'!$G$17,'Antonio L. Gonzalez'!tblEquipos,3,FALSE))</definedName>
    <definedName name="GD_C1" localSheetId="25">INDIRECT(VLOOKUP('[5]- D -'!$G$17,'Cristina Gonzalez'!tblEquipos,3,FALSE))</definedName>
    <definedName name="GD_C1" localSheetId="27">INDIRECT(VLOOKUP('[6]- D -'!$G$17,'Daniel Alonzo'!tblEquipos,3,FALSE))</definedName>
    <definedName name="GD_C1" localSheetId="32">INDIRECT(VLOOKUP('[7]- D -'!$G$17,'Daniel Parra'!tblEquipos,3,FALSE))</definedName>
    <definedName name="GD_C1" localSheetId="41">INDIRECT(VLOOKUP('[8]- D -'!$G$17,'Erika Guillen'!tblEquipos,3,FALSE))</definedName>
    <definedName name="GD_C1" localSheetId="38">INDIRECT(VLOOKUP('[9]- D -'!$G$17,'Felipe Silva Ardila'!tblEquipos,3,FALSE))</definedName>
    <definedName name="GD_C1" localSheetId="34">INDIRECT(VLOOKUP('[10]- D -'!$G$17,'Franco Rivero'!tblEquipos,3,FALSE))</definedName>
    <definedName name="GD_C1" localSheetId="31">INDIRECT(VLOOKUP('[11]- D -'!$G$17,'Gustavo Plaza'!tblEquipos,3,FALSE))</definedName>
    <definedName name="GD_C1" localSheetId="45">INDIRECT(VLOOKUP('[12]- D -'!$G$17,'Hernando Lopez'!tblEquipos,3,FALSE))</definedName>
    <definedName name="GD_C1" localSheetId="36">INDIRECT(VLOOKUP('[13]- D -'!$G$17,'Javier Ajjam'!tblEquipos,3,FALSE))</definedName>
    <definedName name="GD_C1" localSheetId="39">INDIRECT(VLOOKUP('[14]- D -'!$G$17,'Javier Nunez'!tblEquipos,3,FALSE))</definedName>
    <definedName name="GD_C1" localSheetId="37">INDIRECT(VLOOKUP('[14]- D -'!$G$17,'Javier Ochoa'!tblEquipos,3,FALSE))</definedName>
    <definedName name="GD_C1" localSheetId="26">INDIRECT(VLOOKUP('[15]- D -'!$G$17,'Jessica Gonzalez'!tblEquipos,3,FALSE))</definedName>
    <definedName name="GD_C1" localSheetId="43">INDIRECT(VLOOKUP('[4]- D -'!$G$17,'Jorge Gimenez'!tblEquipos,3,FALSE))</definedName>
    <definedName name="GD_C1" localSheetId="24">INDIRECT(VLOOKUP('[5]- D -'!$G$17,'Luis Escamillo'!tblEquipos,3,FALSE))</definedName>
    <definedName name="GD_C1" localSheetId="46">INDIRECT(VLOOKUP(#REF!,'Luis G Parra'!tblEquipos,3,FALSE))</definedName>
    <definedName name="GD_C1" localSheetId="40">INDIRECT(VLOOKUP('[16]- D -'!$G$17,'Luis Parilli'!tblEquipos,3,FALSE))</definedName>
    <definedName name="GD_C1" localSheetId="48">INDIRECT(VLOOKUP('[17]- D -'!$G$17,'Manuel Godin'!tblEquipos,3,FALSE))</definedName>
    <definedName name="GD_C1" localSheetId="22">INDIRECT(VLOOKUP('[18]- D -'!$G$17,'Manuel Godoy'!tblEquipos,3,FALSE))</definedName>
    <definedName name="GD_C1" localSheetId="50">INDIRECT(VLOOKUP('[24]- D -'!$G$17,'Matt Mciver'!tblEquipos,3,FALSE))</definedName>
    <definedName name="GD_C1" localSheetId="49">INDIRECT(VLOOKUP('[19]- D -'!$G$17,'Nayeem Khalid'!tblEquipos,3,FALSE))</definedName>
    <definedName name="GD_C1" localSheetId="47">INDIRECT(VLOOKUP('[20]- D -'!$G$17,'Pablo Ruggeri'!tblEquipos,3,FALSE))</definedName>
    <definedName name="GD_C1" localSheetId="35">INDIRECT(VLOOKUP('[5]- D -'!$G$17,'Ricardo Vielma'!tblEquipos,3,FALSE))</definedName>
    <definedName name="GD_C1" localSheetId="30">INDIRECT(VLOOKUP('[21]- D -'!$G$17,'Rodrigo Feliu'!tblEquipos,3,FALSE))</definedName>
    <definedName name="GD_C1" localSheetId="44">INDIRECT(VLOOKUP('[22]- D -'!$G$17,'Tomas Zirczy'!tblEquipos,3,FALSE))</definedName>
    <definedName name="GD_C1" localSheetId="33">INDIRECT(VLOOKUP('[23]- D -'!$G$17,'Valeria Rincon'!tblEquipos,3,FALSE))</definedName>
    <definedName name="GD_C1">INDIRECT(VLOOKUP('- D -'!$G$17,tblEquipos,3,FALSE))</definedName>
    <definedName name="GD_C2" localSheetId="29">INDIRECT(VLOOKUP('[1]- D -'!$G$18,'Akshat Turlybayev'!tblEquipos,3,FALSE))</definedName>
    <definedName name="GD_C2" localSheetId="28">INDIRECT(VLOOKUP('[2]- D -'!$G$18,'Andres Carvajal'!tblEquipos,3,FALSE))</definedName>
    <definedName name="GD_C2" localSheetId="23">INDIRECT(VLOOKUP('[3]- D -'!$G$18,'Antonio J'!tblEquipos,3,FALSE))</definedName>
    <definedName name="GD_C2" localSheetId="42">INDIRECT(VLOOKUP('[4]- D -'!$G$18,'Antonio L. Gonzalez'!tblEquipos,3,FALSE))</definedName>
    <definedName name="GD_C2" localSheetId="25">INDIRECT(VLOOKUP('[5]- D -'!$G$18,'Cristina Gonzalez'!tblEquipos,3,FALSE))</definedName>
    <definedName name="GD_C2" localSheetId="27">INDIRECT(VLOOKUP('[6]- D -'!$G$18,'Daniel Alonzo'!tblEquipos,3,FALSE))</definedName>
    <definedName name="GD_C2" localSheetId="32">INDIRECT(VLOOKUP('[7]- D -'!$G$18,'Daniel Parra'!tblEquipos,3,FALSE))</definedName>
    <definedName name="GD_C2" localSheetId="41">INDIRECT(VLOOKUP('[8]- D -'!$G$18,'Erika Guillen'!tblEquipos,3,FALSE))</definedName>
    <definedName name="GD_C2" localSheetId="38">INDIRECT(VLOOKUP('[9]- D -'!$G$18,'Felipe Silva Ardila'!tblEquipos,3,FALSE))</definedName>
    <definedName name="GD_C2" localSheetId="34">INDIRECT(VLOOKUP('[10]- D -'!$G$18,'Franco Rivero'!tblEquipos,3,FALSE))</definedName>
    <definedName name="GD_C2" localSheetId="31">INDIRECT(VLOOKUP('[11]- D -'!$G$18,'Gustavo Plaza'!tblEquipos,3,FALSE))</definedName>
    <definedName name="GD_C2" localSheetId="45">INDIRECT(VLOOKUP('[12]- D -'!$G$18,'Hernando Lopez'!tblEquipos,3,FALSE))</definedName>
    <definedName name="GD_C2" localSheetId="36">INDIRECT(VLOOKUP('[13]- D -'!$G$18,'Javier Ajjam'!tblEquipos,3,FALSE))</definedName>
    <definedName name="GD_C2" localSheetId="39">INDIRECT(VLOOKUP('[14]- D -'!$G$18,'Javier Nunez'!tblEquipos,3,FALSE))</definedName>
    <definedName name="GD_C2" localSheetId="37">INDIRECT(VLOOKUP('[14]- D -'!$G$18,'Javier Ochoa'!tblEquipos,3,FALSE))</definedName>
    <definedName name="GD_C2" localSheetId="26">INDIRECT(VLOOKUP('[15]- D -'!$G$18,'Jessica Gonzalez'!tblEquipos,3,FALSE))</definedName>
    <definedName name="GD_C2" localSheetId="43">INDIRECT(VLOOKUP('[4]- D -'!$G$18,'Jorge Gimenez'!tblEquipos,3,FALSE))</definedName>
    <definedName name="GD_C2" localSheetId="24">INDIRECT(VLOOKUP('[5]- D -'!$G$18,'Luis Escamillo'!tblEquipos,3,FALSE))</definedName>
    <definedName name="GD_C2" localSheetId="46">INDIRECT(VLOOKUP(#REF!,'Luis G Parra'!tblEquipos,3,FALSE))</definedName>
    <definedName name="GD_C2" localSheetId="40">INDIRECT(VLOOKUP('[16]- D -'!$G$18,'Luis Parilli'!tblEquipos,3,FALSE))</definedName>
    <definedName name="GD_C2" localSheetId="48">INDIRECT(VLOOKUP('[17]- D -'!$G$18,'Manuel Godin'!tblEquipos,3,FALSE))</definedName>
    <definedName name="GD_C2" localSheetId="22">INDIRECT(VLOOKUP('[18]- D -'!$G$18,'Manuel Godoy'!tblEquipos,3,FALSE))</definedName>
    <definedName name="GD_C2" localSheetId="50">INDIRECT(VLOOKUP('[24]- D -'!$G$18,'Matt Mciver'!tblEquipos,3,FALSE))</definedName>
    <definedName name="GD_C2" localSheetId="49">INDIRECT(VLOOKUP('[19]- D -'!$G$18,'Nayeem Khalid'!tblEquipos,3,FALSE))</definedName>
    <definedName name="GD_C2" localSheetId="47">INDIRECT(VLOOKUP('[20]- D -'!$G$18,'Pablo Ruggeri'!tblEquipos,3,FALSE))</definedName>
    <definedName name="GD_C2" localSheetId="35">INDIRECT(VLOOKUP('[5]- D -'!$G$18,'Ricardo Vielma'!tblEquipos,3,FALSE))</definedName>
    <definedName name="GD_C2" localSheetId="30">INDIRECT(VLOOKUP('[21]- D -'!$G$18,'Rodrigo Feliu'!tblEquipos,3,FALSE))</definedName>
    <definedName name="GD_C2" localSheetId="44">INDIRECT(VLOOKUP('[22]- D -'!$G$18,'Tomas Zirczy'!tblEquipos,3,FALSE))</definedName>
    <definedName name="GD_C2" localSheetId="33">INDIRECT(VLOOKUP('[23]- D -'!$G$18,'Valeria Rincon'!tblEquipos,3,FALSE))</definedName>
    <definedName name="GD_C2">INDIRECT(VLOOKUP('- D -'!$G$18,tblEquipos,3,FALSE))</definedName>
    <definedName name="GE_C1" localSheetId="29">INDIRECT(VLOOKUP('[1]- E -'!$G$17,'Akshat Turlybayev'!tblEquipos,3,FALSE))</definedName>
    <definedName name="GE_C1" localSheetId="28">INDIRECT(VLOOKUP('[2]- E -'!$G$17,'Andres Carvajal'!tblEquipos,3,FALSE))</definedName>
    <definedName name="GE_C1" localSheetId="23">INDIRECT(VLOOKUP('[3]- E -'!$G$17,'Antonio J'!tblEquipos,3,FALSE))</definedName>
    <definedName name="GE_C1" localSheetId="42">INDIRECT(VLOOKUP('[4]- E -'!$G$17,'Antonio L. Gonzalez'!tblEquipos,3,FALSE))</definedName>
    <definedName name="GE_C1" localSheetId="25">INDIRECT(VLOOKUP('[5]- E -'!$G$17,'Cristina Gonzalez'!tblEquipos,3,FALSE))</definedName>
    <definedName name="GE_C1" localSheetId="27">INDIRECT(VLOOKUP('[6]- E -'!$G$17,'Daniel Alonzo'!tblEquipos,3,FALSE))</definedName>
    <definedName name="GE_C1" localSheetId="32">INDIRECT(VLOOKUP('[7]- E -'!$G$17,'Daniel Parra'!tblEquipos,3,FALSE))</definedName>
    <definedName name="GE_C1" localSheetId="41">INDIRECT(VLOOKUP('[8]- E -'!$G$17,'Erika Guillen'!tblEquipos,3,FALSE))</definedName>
    <definedName name="GE_C1" localSheetId="38">INDIRECT(VLOOKUP('[9]- E -'!$G$17,'Felipe Silva Ardila'!tblEquipos,3,FALSE))</definedName>
    <definedName name="GE_C1" localSheetId="34">INDIRECT(VLOOKUP('[10]- E -'!$G$17,'Franco Rivero'!tblEquipos,3,FALSE))</definedName>
    <definedName name="GE_C1" localSheetId="31">INDIRECT(VLOOKUP('[11]- E -'!$G$17,'Gustavo Plaza'!tblEquipos,3,FALSE))</definedName>
    <definedName name="GE_C1" localSheetId="45">INDIRECT(VLOOKUP('[12]- E -'!$G$17,'Hernando Lopez'!tblEquipos,3,FALSE))</definedName>
    <definedName name="GE_C1" localSheetId="36">INDIRECT(VLOOKUP('[13]- E -'!$G$17,'Javier Ajjam'!tblEquipos,3,FALSE))</definedName>
    <definedName name="GE_C1" localSheetId="39">INDIRECT(VLOOKUP('[14]- E -'!$G$17,'Javier Nunez'!tblEquipos,3,FALSE))</definedName>
    <definedName name="GE_C1" localSheetId="37">INDIRECT(VLOOKUP('[14]- E -'!$G$17,'Javier Ochoa'!tblEquipos,3,FALSE))</definedName>
    <definedName name="GE_C1" localSheetId="26">INDIRECT(VLOOKUP('[15]- E -'!$G$17,'Jessica Gonzalez'!tblEquipos,3,FALSE))</definedName>
    <definedName name="GE_C1" localSheetId="43">INDIRECT(VLOOKUP('[4]- E -'!$G$17,'Jorge Gimenez'!tblEquipos,3,FALSE))</definedName>
    <definedName name="GE_C1" localSheetId="24">INDIRECT(VLOOKUP('[5]- E -'!$G$17,'Luis Escamillo'!tblEquipos,3,FALSE))</definedName>
    <definedName name="GE_C1" localSheetId="46">INDIRECT(VLOOKUP(#REF!,'Luis G Parra'!tblEquipos,3,FALSE))</definedName>
    <definedName name="GE_C1" localSheetId="40">INDIRECT(VLOOKUP('[16]- E -'!$G$17,'Luis Parilli'!tblEquipos,3,FALSE))</definedName>
    <definedName name="GE_C1" localSheetId="48">INDIRECT(VLOOKUP('[17]- E -'!$G$17,'Manuel Godin'!tblEquipos,3,FALSE))</definedName>
    <definedName name="GE_C1" localSheetId="22">INDIRECT(VLOOKUP('[18]- E -'!$G$17,'Manuel Godoy'!tblEquipos,3,FALSE))</definedName>
    <definedName name="GE_C1" localSheetId="50">INDIRECT(VLOOKUP('[24]- E -'!$G$17,'Matt Mciver'!tblEquipos,3,FALSE))</definedName>
    <definedName name="GE_C1" localSheetId="49">INDIRECT(VLOOKUP('[19]- E -'!$G$17,'Nayeem Khalid'!tblEquipos,3,FALSE))</definedName>
    <definedName name="GE_C1" localSheetId="47">INDIRECT(VLOOKUP('[20]- E -'!$G$17,'Pablo Ruggeri'!tblEquipos,3,FALSE))</definedName>
    <definedName name="GE_C1" localSheetId="35">INDIRECT(VLOOKUP('[5]- E -'!$G$17,'Ricardo Vielma'!tblEquipos,3,FALSE))</definedName>
    <definedName name="GE_C1" localSheetId="30">INDIRECT(VLOOKUP('[21]- E -'!$G$17,'Rodrigo Feliu'!tblEquipos,3,FALSE))</definedName>
    <definedName name="GE_C1" localSheetId="44">INDIRECT(VLOOKUP('[22]- E -'!$G$17,'Tomas Zirczy'!tblEquipos,3,FALSE))</definedName>
    <definedName name="GE_C1" localSheetId="33">INDIRECT(VLOOKUP('[23]- E -'!$G$17,'Valeria Rincon'!tblEquipos,3,FALSE))</definedName>
    <definedName name="GE_C1">INDIRECT(VLOOKUP('- E -'!$G$17,tblEquipos,3,FALSE))</definedName>
    <definedName name="GE_C2" localSheetId="29">INDIRECT(VLOOKUP('[1]- E -'!$G$18,'Akshat Turlybayev'!tblEquipos,3,FALSE))</definedName>
    <definedName name="GE_C2" localSheetId="28">INDIRECT(VLOOKUP('[2]- E -'!$G$18,'Andres Carvajal'!tblEquipos,3,FALSE))</definedName>
    <definedName name="GE_C2" localSheetId="23">INDIRECT(VLOOKUP('[3]- E -'!$G$18,'Antonio J'!tblEquipos,3,FALSE))</definedName>
    <definedName name="GE_C2" localSheetId="42">INDIRECT(VLOOKUP('[4]- E -'!$G$18,'Antonio L. Gonzalez'!tblEquipos,3,FALSE))</definedName>
    <definedName name="GE_C2" localSheetId="25">INDIRECT(VLOOKUP('[5]- E -'!$G$18,'Cristina Gonzalez'!tblEquipos,3,FALSE))</definedName>
    <definedName name="GE_C2" localSheetId="27">INDIRECT(VLOOKUP('[6]- E -'!$G$18,'Daniel Alonzo'!tblEquipos,3,FALSE))</definedName>
    <definedName name="GE_C2" localSheetId="32">INDIRECT(VLOOKUP('[7]- E -'!$G$18,'Daniel Parra'!tblEquipos,3,FALSE))</definedName>
    <definedName name="GE_C2" localSheetId="41">INDIRECT(VLOOKUP('[8]- E -'!$G$18,'Erika Guillen'!tblEquipos,3,FALSE))</definedName>
    <definedName name="GE_C2" localSheetId="38">INDIRECT(VLOOKUP('[9]- E -'!$G$18,'Felipe Silva Ardila'!tblEquipos,3,FALSE))</definedName>
    <definedName name="GE_C2" localSheetId="34">INDIRECT(VLOOKUP('[10]- E -'!$G$18,'Franco Rivero'!tblEquipos,3,FALSE))</definedName>
    <definedName name="GE_C2" localSheetId="31">INDIRECT(VLOOKUP('[11]- E -'!$G$18,'Gustavo Plaza'!tblEquipos,3,FALSE))</definedName>
    <definedName name="GE_C2" localSheetId="45">INDIRECT(VLOOKUP('[12]- E -'!$G$18,'Hernando Lopez'!tblEquipos,3,FALSE))</definedName>
    <definedName name="GE_C2" localSheetId="36">INDIRECT(VLOOKUP('[13]- E -'!$G$18,'Javier Ajjam'!tblEquipos,3,FALSE))</definedName>
    <definedName name="GE_C2" localSheetId="39">INDIRECT(VLOOKUP('[14]- E -'!$G$18,'Javier Nunez'!tblEquipos,3,FALSE))</definedName>
    <definedName name="GE_C2" localSheetId="37">INDIRECT(VLOOKUP('[14]- E -'!$G$18,'Javier Ochoa'!tblEquipos,3,FALSE))</definedName>
    <definedName name="GE_C2" localSheetId="26">INDIRECT(VLOOKUP('[15]- E -'!$G$18,'Jessica Gonzalez'!tblEquipos,3,FALSE))</definedName>
    <definedName name="GE_C2" localSheetId="43">INDIRECT(VLOOKUP('[4]- E -'!$G$18,'Jorge Gimenez'!tblEquipos,3,FALSE))</definedName>
    <definedName name="GE_C2" localSheetId="24">INDIRECT(VLOOKUP('[5]- E -'!$G$18,'Luis Escamillo'!tblEquipos,3,FALSE))</definedName>
    <definedName name="GE_C2" localSheetId="46">INDIRECT(VLOOKUP(#REF!,'Luis G Parra'!tblEquipos,3,FALSE))</definedName>
    <definedName name="GE_C2" localSheetId="40">INDIRECT(VLOOKUP('[16]- E -'!$G$18,'Luis Parilli'!tblEquipos,3,FALSE))</definedName>
    <definedName name="GE_C2" localSheetId="48">INDIRECT(VLOOKUP('[17]- E -'!$G$18,'Manuel Godin'!tblEquipos,3,FALSE))</definedName>
    <definedName name="GE_C2" localSheetId="22">INDIRECT(VLOOKUP('[18]- E -'!$G$18,'Manuel Godoy'!tblEquipos,3,FALSE))</definedName>
    <definedName name="GE_C2" localSheetId="50">INDIRECT(VLOOKUP('[24]- E -'!$G$18,'Matt Mciver'!tblEquipos,3,FALSE))</definedName>
    <definedName name="GE_C2" localSheetId="49">INDIRECT(VLOOKUP('[19]- E -'!$G$18,'Nayeem Khalid'!tblEquipos,3,FALSE))</definedName>
    <definedName name="GE_C2" localSheetId="47">INDIRECT(VLOOKUP('[20]- E -'!$G$18,'Pablo Ruggeri'!tblEquipos,3,FALSE))</definedName>
    <definedName name="GE_C2" localSheetId="35">INDIRECT(VLOOKUP('[5]- E -'!$G$18,'Ricardo Vielma'!tblEquipos,3,FALSE))</definedName>
    <definedName name="GE_C2" localSheetId="30">INDIRECT(VLOOKUP('[21]- E -'!$G$18,'Rodrigo Feliu'!tblEquipos,3,FALSE))</definedName>
    <definedName name="GE_C2" localSheetId="44">INDIRECT(VLOOKUP('[22]- E -'!$G$18,'Tomas Zirczy'!tblEquipos,3,FALSE))</definedName>
    <definedName name="GE_C2" localSheetId="33">INDIRECT(VLOOKUP('[23]- E -'!$G$18,'Valeria Rincon'!tblEquipos,3,FALSE))</definedName>
    <definedName name="GE_C2">INDIRECT(VLOOKUP('- E -'!$G$18,tblEquipos,3,FALSE))</definedName>
    <definedName name="GF_C1" localSheetId="29">INDIRECT(VLOOKUP('[1]- F -'!$G$17,'Akshat Turlybayev'!tblEquipos,3,FALSE))</definedName>
    <definedName name="GF_C1" localSheetId="28">INDIRECT(VLOOKUP('[2]- F -'!$G$17,'Andres Carvajal'!tblEquipos,3,FALSE))</definedName>
    <definedName name="GF_C1" localSheetId="23">INDIRECT(VLOOKUP('[3]- F -'!$G$17,'Antonio J'!tblEquipos,3,FALSE))</definedName>
    <definedName name="GF_C1" localSheetId="42">INDIRECT(VLOOKUP('[4]- F -'!$G$17,'Antonio L. Gonzalez'!tblEquipos,3,FALSE))</definedName>
    <definedName name="GF_C1" localSheetId="25">INDIRECT(VLOOKUP('[5]- F -'!$G$17,'Cristina Gonzalez'!tblEquipos,3,FALSE))</definedName>
    <definedName name="GF_C1" localSheetId="27">INDIRECT(VLOOKUP('[6]- F -'!$G$17,'Daniel Alonzo'!tblEquipos,3,FALSE))</definedName>
    <definedName name="GF_C1" localSheetId="32">INDIRECT(VLOOKUP('[7]- F -'!$G$17,'Daniel Parra'!tblEquipos,3,FALSE))</definedName>
    <definedName name="GF_C1" localSheetId="41">INDIRECT(VLOOKUP('[8]- F -'!$G$17,'Erika Guillen'!tblEquipos,3,FALSE))</definedName>
    <definedName name="GF_C1" localSheetId="38">INDIRECT(VLOOKUP('[9]- F -'!$G$17,'Felipe Silva Ardila'!tblEquipos,3,FALSE))</definedName>
    <definedName name="GF_C1" localSheetId="34">INDIRECT(VLOOKUP('[10]- F -'!$G$17,'Franco Rivero'!tblEquipos,3,FALSE))</definedName>
    <definedName name="GF_C1" localSheetId="31">INDIRECT(VLOOKUP('[11]- F -'!$G$17,'Gustavo Plaza'!tblEquipos,3,FALSE))</definedName>
    <definedName name="GF_C1" localSheetId="45">INDIRECT(VLOOKUP('[12]- F -'!$G$17,'Hernando Lopez'!tblEquipos,3,FALSE))</definedName>
    <definedName name="GF_C1" localSheetId="36">INDIRECT(VLOOKUP('[13]- F -'!$G$17,'Javier Ajjam'!tblEquipos,3,FALSE))</definedName>
    <definedName name="GF_C1" localSheetId="39">INDIRECT(VLOOKUP('[14]- F -'!$G$17,'Javier Nunez'!tblEquipos,3,FALSE))</definedName>
    <definedName name="GF_C1" localSheetId="37">INDIRECT(VLOOKUP('[14]- F -'!$G$17,'Javier Ochoa'!tblEquipos,3,FALSE))</definedName>
    <definedName name="GF_C1" localSheetId="26">INDIRECT(VLOOKUP('[15]- F -'!$G$17,'Jessica Gonzalez'!tblEquipos,3,FALSE))</definedName>
    <definedName name="GF_C1" localSheetId="43">INDIRECT(VLOOKUP('[4]- F -'!$G$17,'Jorge Gimenez'!tblEquipos,3,FALSE))</definedName>
    <definedName name="GF_C1" localSheetId="24">INDIRECT(VLOOKUP('[5]- F -'!$G$17,'Luis Escamillo'!tblEquipos,3,FALSE))</definedName>
    <definedName name="GF_C1" localSheetId="46">INDIRECT(VLOOKUP(#REF!,'Luis G Parra'!tblEquipos,3,FALSE))</definedName>
    <definedName name="GF_C1" localSheetId="40">INDIRECT(VLOOKUP('[16]- F -'!$G$17,'Luis Parilli'!tblEquipos,3,FALSE))</definedName>
    <definedName name="GF_C1" localSheetId="48">INDIRECT(VLOOKUP('[17]- F -'!$G$17,'Manuel Godin'!tblEquipos,3,FALSE))</definedName>
    <definedName name="GF_C1" localSheetId="22">INDIRECT(VLOOKUP('[18]- F -'!$G$17,'Manuel Godoy'!tblEquipos,3,FALSE))</definedName>
    <definedName name="GF_C1" localSheetId="50">INDIRECT(VLOOKUP('[24]- F -'!$G$17,'Matt Mciver'!tblEquipos,3,FALSE))</definedName>
    <definedName name="GF_C1" localSheetId="49">INDIRECT(VLOOKUP('[19]- F -'!$G$17,'Nayeem Khalid'!tblEquipos,3,FALSE))</definedName>
    <definedName name="GF_C1" localSheetId="47">INDIRECT(VLOOKUP('[20]- F -'!$G$17,'Pablo Ruggeri'!tblEquipos,3,FALSE))</definedName>
    <definedName name="GF_C1" localSheetId="35">INDIRECT(VLOOKUP('[5]- F -'!$G$17,'Ricardo Vielma'!tblEquipos,3,FALSE))</definedName>
    <definedName name="GF_C1" localSheetId="30">INDIRECT(VLOOKUP('[21]- F -'!$G$17,'Rodrigo Feliu'!tblEquipos,3,FALSE))</definedName>
    <definedName name="GF_C1" localSheetId="44">INDIRECT(VLOOKUP('[22]- F -'!$G$17,'Tomas Zirczy'!tblEquipos,3,FALSE))</definedName>
    <definedName name="GF_C1" localSheetId="33">INDIRECT(VLOOKUP('[23]- F -'!$G$17,'Valeria Rincon'!tblEquipos,3,FALSE))</definedName>
    <definedName name="GF_C1">INDIRECT(VLOOKUP('- F -'!$G$17,tblEquipos,3,FALSE))</definedName>
    <definedName name="GF_C2" localSheetId="29">INDIRECT(VLOOKUP('[1]- F -'!$G$18,'Akshat Turlybayev'!tblEquipos,3,FALSE))</definedName>
    <definedName name="GF_C2" localSheetId="28">INDIRECT(VLOOKUP('[2]- F -'!$G$18,'Andres Carvajal'!tblEquipos,3,FALSE))</definedName>
    <definedName name="GF_C2" localSheetId="23">INDIRECT(VLOOKUP('[3]- F -'!$G$18,'Antonio J'!tblEquipos,3,FALSE))</definedName>
    <definedName name="GF_C2" localSheetId="42">INDIRECT(VLOOKUP('[4]- F -'!$G$18,'Antonio L. Gonzalez'!tblEquipos,3,FALSE))</definedName>
    <definedName name="GF_C2" localSheetId="25">INDIRECT(VLOOKUP('[5]- F -'!$G$18,'Cristina Gonzalez'!tblEquipos,3,FALSE))</definedName>
    <definedName name="GF_C2" localSheetId="27">INDIRECT(VLOOKUP('[6]- F -'!$G$18,'Daniel Alonzo'!tblEquipos,3,FALSE))</definedName>
    <definedName name="GF_C2" localSheetId="32">INDIRECT(VLOOKUP('[7]- F -'!$G$18,'Daniel Parra'!tblEquipos,3,FALSE))</definedName>
    <definedName name="GF_C2" localSheetId="41">INDIRECT(VLOOKUP('[8]- F -'!$G$18,'Erika Guillen'!tblEquipos,3,FALSE))</definedName>
    <definedName name="GF_C2" localSheetId="38">INDIRECT(VLOOKUP('[9]- F -'!$G$18,'Felipe Silva Ardila'!tblEquipos,3,FALSE))</definedName>
    <definedName name="GF_C2" localSheetId="34">INDIRECT(VLOOKUP('[10]- F -'!$G$18,'Franco Rivero'!tblEquipos,3,FALSE))</definedName>
    <definedName name="GF_C2" localSheetId="31">INDIRECT(VLOOKUP('[11]- F -'!$G$18,'Gustavo Plaza'!tblEquipos,3,FALSE))</definedName>
    <definedName name="GF_C2" localSheetId="45">INDIRECT(VLOOKUP('[12]- F -'!$G$18,'Hernando Lopez'!tblEquipos,3,FALSE))</definedName>
    <definedName name="GF_C2" localSheetId="36">INDIRECT(VLOOKUP('[13]- F -'!$G$18,'Javier Ajjam'!tblEquipos,3,FALSE))</definedName>
    <definedName name="GF_C2" localSheetId="39">INDIRECT(VLOOKUP('[14]- F -'!$G$18,'Javier Nunez'!tblEquipos,3,FALSE))</definedName>
    <definedName name="GF_C2" localSheetId="37">INDIRECT(VLOOKUP('[14]- F -'!$G$18,'Javier Ochoa'!tblEquipos,3,FALSE))</definedName>
    <definedName name="GF_C2" localSheetId="26">INDIRECT(VLOOKUP('[15]- F -'!$G$18,'Jessica Gonzalez'!tblEquipos,3,FALSE))</definedName>
    <definedName name="GF_C2" localSheetId="43">INDIRECT(VLOOKUP('[4]- F -'!$G$18,'Jorge Gimenez'!tblEquipos,3,FALSE))</definedName>
    <definedName name="GF_C2" localSheetId="24">INDIRECT(VLOOKUP('[5]- F -'!$G$18,'Luis Escamillo'!tblEquipos,3,FALSE))</definedName>
    <definedName name="GF_C2" localSheetId="46">INDIRECT(VLOOKUP(#REF!,'Luis G Parra'!tblEquipos,3,FALSE))</definedName>
    <definedName name="GF_C2" localSheetId="40">INDIRECT(VLOOKUP('[16]- F -'!$G$18,'Luis Parilli'!tblEquipos,3,FALSE))</definedName>
    <definedName name="GF_C2" localSheetId="48">INDIRECT(VLOOKUP('[17]- F -'!$G$18,'Manuel Godin'!tblEquipos,3,FALSE))</definedName>
    <definedName name="GF_C2" localSheetId="22">INDIRECT(VLOOKUP('[18]- F -'!$G$18,'Manuel Godoy'!tblEquipos,3,FALSE))</definedName>
    <definedName name="GF_C2" localSheetId="50">INDIRECT(VLOOKUP('[24]- F -'!$G$18,'Matt Mciver'!tblEquipos,3,FALSE))</definedName>
    <definedName name="GF_C2" localSheetId="49">INDIRECT(VLOOKUP('[19]- F -'!$G$18,'Nayeem Khalid'!tblEquipos,3,FALSE))</definedName>
    <definedName name="GF_C2" localSheetId="47">INDIRECT(VLOOKUP('[20]- F -'!$G$18,'Pablo Ruggeri'!tblEquipos,3,FALSE))</definedName>
    <definedName name="GF_C2" localSheetId="35">INDIRECT(VLOOKUP('[5]- F -'!$G$18,'Ricardo Vielma'!tblEquipos,3,FALSE))</definedName>
    <definedName name="GF_C2" localSheetId="30">INDIRECT(VLOOKUP('[21]- F -'!$G$18,'Rodrigo Feliu'!tblEquipos,3,FALSE))</definedName>
    <definedName name="GF_C2" localSheetId="44">INDIRECT(VLOOKUP('[22]- F -'!$G$18,'Tomas Zirczy'!tblEquipos,3,FALSE))</definedName>
    <definedName name="GF_C2" localSheetId="33">INDIRECT(VLOOKUP('[23]- F -'!$G$18,'Valeria Rincon'!tblEquipos,3,FALSE))</definedName>
    <definedName name="GF_C2">INDIRECT(VLOOKUP('- F -'!$G$18,tblEquipos,3,FALSE))</definedName>
    <definedName name="GG_C1" localSheetId="29">INDIRECT(VLOOKUP('[1]- G -'!$G$17,'Akshat Turlybayev'!tblEquipos,3,FALSE))</definedName>
    <definedName name="GG_C1" localSheetId="28">INDIRECT(VLOOKUP('[2]- G -'!$G$17,'Andres Carvajal'!tblEquipos,3,FALSE))</definedName>
    <definedName name="GG_C1" localSheetId="23">INDIRECT(VLOOKUP('[3]- G -'!$G$17,'Antonio J'!tblEquipos,3,FALSE))</definedName>
    <definedName name="GG_C1" localSheetId="42">INDIRECT(VLOOKUP('[4]- G -'!$G$17,'Antonio L. Gonzalez'!tblEquipos,3,FALSE))</definedName>
    <definedName name="GG_C1" localSheetId="25">INDIRECT(VLOOKUP('[5]- G -'!$G$17,'Cristina Gonzalez'!tblEquipos,3,FALSE))</definedName>
    <definedName name="GG_C1" localSheetId="27">INDIRECT(VLOOKUP('[6]- G -'!$G$17,'Daniel Alonzo'!tblEquipos,3,FALSE))</definedName>
    <definedName name="GG_C1" localSheetId="32">INDIRECT(VLOOKUP('[7]- G -'!$G$17,'Daniel Parra'!tblEquipos,3,FALSE))</definedName>
    <definedName name="GG_C1" localSheetId="41">INDIRECT(VLOOKUP('[8]- G -'!$G$17,'Erika Guillen'!tblEquipos,3,FALSE))</definedName>
    <definedName name="GG_C1" localSheetId="38">INDIRECT(VLOOKUP('[9]- G -'!$G$17,'Felipe Silva Ardila'!tblEquipos,3,FALSE))</definedName>
    <definedName name="GG_C1" localSheetId="34">INDIRECT(VLOOKUP('[10]- G -'!$G$17,'Franco Rivero'!tblEquipos,3,FALSE))</definedName>
    <definedName name="GG_C1" localSheetId="31">INDIRECT(VLOOKUP('[11]- G -'!$G$17,'Gustavo Plaza'!tblEquipos,3,FALSE))</definedName>
    <definedName name="GG_C1" localSheetId="45">INDIRECT(VLOOKUP('[12]- G -'!$G$17,'Hernando Lopez'!tblEquipos,3,FALSE))</definedName>
    <definedName name="GG_C1" localSheetId="36">INDIRECT(VLOOKUP('[13]- G -'!$G$17,'Javier Ajjam'!tblEquipos,3,FALSE))</definedName>
    <definedName name="GG_C1" localSheetId="39">INDIRECT(VLOOKUP('[14]- G -'!$G$17,'Javier Nunez'!tblEquipos,3,FALSE))</definedName>
    <definedName name="GG_C1" localSheetId="37">INDIRECT(VLOOKUP('[14]- G -'!$G$17,'Javier Ochoa'!tblEquipos,3,FALSE))</definedName>
    <definedName name="GG_C1" localSheetId="26">INDIRECT(VLOOKUP('[15]- G -'!$G$17,'Jessica Gonzalez'!tblEquipos,3,FALSE))</definedName>
    <definedName name="GG_C1" localSheetId="43">INDIRECT(VLOOKUP('[4]- G -'!$G$17,'Jorge Gimenez'!tblEquipos,3,FALSE))</definedName>
    <definedName name="GG_C1" localSheetId="24">INDIRECT(VLOOKUP('[5]- G -'!$G$17,'Luis Escamillo'!tblEquipos,3,FALSE))</definedName>
    <definedName name="GG_C1" localSheetId="46">INDIRECT(VLOOKUP(#REF!,'Luis G Parra'!tblEquipos,3,FALSE))</definedName>
    <definedName name="GG_C1" localSheetId="40">INDIRECT(VLOOKUP('[16]- G -'!$G$17,'Luis Parilli'!tblEquipos,3,FALSE))</definedName>
    <definedName name="GG_C1" localSheetId="48">INDIRECT(VLOOKUP('[17]- G -'!$G$17,'Manuel Godin'!tblEquipos,3,FALSE))</definedName>
    <definedName name="GG_C1" localSheetId="22">INDIRECT(VLOOKUP('[18]- G -'!$G$17,'Manuel Godoy'!tblEquipos,3,FALSE))</definedName>
    <definedName name="GG_C1" localSheetId="50">INDIRECT(VLOOKUP('[24]- G -'!$G$17,'Matt Mciver'!tblEquipos,3,FALSE))</definedName>
    <definedName name="GG_C1" localSheetId="49">INDIRECT(VLOOKUP('[19]- G -'!$G$17,'Nayeem Khalid'!tblEquipos,3,FALSE))</definedName>
    <definedName name="GG_C1" localSheetId="47">INDIRECT(VLOOKUP('[20]- G -'!$G$17,'Pablo Ruggeri'!tblEquipos,3,FALSE))</definedName>
    <definedName name="GG_C1" localSheetId="35">INDIRECT(VLOOKUP('[5]- G -'!$G$17,'Ricardo Vielma'!tblEquipos,3,FALSE))</definedName>
    <definedName name="GG_C1" localSheetId="30">INDIRECT(VLOOKUP('[21]- G -'!$G$17,'Rodrigo Feliu'!tblEquipos,3,FALSE))</definedName>
    <definedName name="GG_C1" localSheetId="44">INDIRECT(VLOOKUP('[22]- G -'!$G$17,'Tomas Zirczy'!tblEquipos,3,FALSE))</definedName>
    <definedName name="GG_C1" localSheetId="33">INDIRECT(VLOOKUP('[23]- G -'!$G$17,'Valeria Rincon'!tblEquipos,3,FALSE))</definedName>
    <definedName name="GG_C1">INDIRECT(VLOOKUP('- G -'!$G$17,tblEquipos,3,FALSE))</definedName>
    <definedName name="GG_C2" localSheetId="29">INDIRECT(VLOOKUP('[1]- G -'!$G$18,'Akshat Turlybayev'!tblEquipos,3,FALSE))</definedName>
    <definedName name="GG_C2" localSheetId="28">INDIRECT(VLOOKUP('[2]- G -'!$G$18,'Andres Carvajal'!tblEquipos,3,FALSE))</definedName>
    <definedName name="GG_C2" localSheetId="23">INDIRECT(VLOOKUP('[3]- G -'!$G$18,'Antonio J'!tblEquipos,3,FALSE))</definedName>
    <definedName name="GG_C2" localSheetId="42">INDIRECT(VLOOKUP('[4]- G -'!$G$18,'Antonio L. Gonzalez'!tblEquipos,3,FALSE))</definedName>
    <definedName name="GG_C2" localSheetId="25">INDIRECT(VLOOKUP('[5]- G -'!$G$18,'Cristina Gonzalez'!tblEquipos,3,FALSE))</definedName>
    <definedName name="GG_C2" localSheetId="27">INDIRECT(VLOOKUP('[6]- G -'!$G$18,'Daniel Alonzo'!tblEquipos,3,FALSE))</definedName>
    <definedName name="GG_C2" localSheetId="32">INDIRECT(VLOOKUP('[7]- G -'!$G$18,'Daniel Parra'!tblEquipos,3,FALSE))</definedName>
    <definedName name="GG_C2" localSheetId="41">INDIRECT(VLOOKUP('[8]- G -'!$G$18,'Erika Guillen'!tblEquipos,3,FALSE))</definedName>
    <definedName name="GG_C2" localSheetId="38">INDIRECT(VLOOKUP('[9]- G -'!$G$18,'Felipe Silva Ardila'!tblEquipos,3,FALSE))</definedName>
    <definedName name="GG_C2" localSheetId="34">INDIRECT(VLOOKUP('[10]- G -'!$G$18,'Franco Rivero'!tblEquipos,3,FALSE))</definedName>
    <definedName name="GG_C2" localSheetId="31">INDIRECT(VLOOKUP('[11]- G -'!$G$18,'Gustavo Plaza'!tblEquipos,3,FALSE))</definedName>
    <definedName name="GG_C2" localSheetId="45">INDIRECT(VLOOKUP('[12]- G -'!$G$18,'Hernando Lopez'!tblEquipos,3,FALSE))</definedName>
    <definedName name="GG_C2" localSheetId="36">INDIRECT(VLOOKUP('[13]- G -'!$G$18,'Javier Ajjam'!tblEquipos,3,FALSE))</definedName>
    <definedName name="GG_C2" localSheetId="39">INDIRECT(VLOOKUP('[14]- G -'!$G$18,'Javier Nunez'!tblEquipos,3,FALSE))</definedName>
    <definedName name="GG_C2" localSheetId="37">INDIRECT(VLOOKUP('[14]- G -'!$G$18,'Javier Ochoa'!tblEquipos,3,FALSE))</definedName>
    <definedName name="GG_C2" localSheetId="26">INDIRECT(VLOOKUP('[15]- G -'!$G$18,'Jessica Gonzalez'!tblEquipos,3,FALSE))</definedName>
    <definedName name="GG_C2" localSheetId="43">INDIRECT(VLOOKUP('[4]- G -'!$G$18,'Jorge Gimenez'!tblEquipos,3,FALSE))</definedName>
    <definedName name="GG_C2" localSheetId="24">INDIRECT(VLOOKUP('[5]- G -'!$G$18,'Luis Escamillo'!tblEquipos,3,FALSE))</definedName>
    <definedName name="GG_C2" localSheetId="46">INDIRECT(VLOOKUP(#REF!,'Luis G Parra'!tblEquipos,3,FALSE))</definedName>
    <definedName name="GG_C2" localSheetId="40">INDIRECT(VLOOKUP('[16]- G -'!$G$18,'Luis Parilli'!tblEquipos,3,FALSE))</definedName>
    <definedName name="GG_C2" localSheetId="48">INDIRECT(VLOOKUP('[17]- G -'!$G$18,'Manuel Godin'!tblEquipos,3,FALSE))</definedName>
    <definedName name="GG_C2" localSheetId="22">INDIRECT(VLOOKUP('[18]- G -'!$G$18,'Manuel Godoy'!tblEquipos,3,FALSE))</definedName>
    <definedName name="GG_C2" localSheetId="50">INDIRECT(VLOOKUP('[24]- G -'!$G$18,'Matt Mciver'!tblEquipos,3,FALSE))</definedName>
    <definedName name="GG_C2" localSheetId="49">INDIRECT(VLOOKUP('[19]- G -'!$G$18,'Nayeem Khalid'!tblEquipos,3,FALSE))</definedName>
    <definedName name="GG_C2" localSheetId="47">INDIRECT(VLOOKUP('[20]- G -'!$G$18,'Pablo Ruggeri'!tblEquipos,3,FALSE))</definedName>
    <definedName name="GG_C2" localSheetId="35">INDIRECT(VLOOKUP('[5]- G -'!$G$18,'Ricardo Vielma'!tblEquipos,3,FALSE))</definedName>
    <definedName name="GG_C2" localSheetId="30">INDIRECT(VLOOKUP('[21]- G -'!$G$18,'Rodrigo Feliu'!tblEquipos,3,FALSE))</definedName>
    <definedName name="GG_C2" localSheetId="44">INDIRECT(VLOOKUP('[22]- G -'!$G$18,'Tomas Zirczy'!tblEquipos,3,FALSE))</definedName>
    <definedName name="GG_C2" localSheetId="33">INDIRECT(VLOOKUP('[23]- G -'!$G$18,'Valeria Rincon'!tblEquipos,3,FALSE))</definedName>
    <definedName name="GG_C2">INDIRECT(VLOOKUP('- G -'!$G$18,tblEquipos,3,FALSE))</definedName>
    <definedName name="GH_C1" localSheetId="29">INDIRECT(VLOOKUP('[1]- H -'!$G$17,'Akshat Turlybayev'!tblEquipos,3,FALSE))</definedName>
    <definedName name="GH_C1" localSheetId="28">INDIRECT(VLOOKUP('[2]- H -'!$G$17,'Andres Carvajal'!tblEquipos,3,FALSE))</definedName>
    <definedName name="GH_C1" localSheetId="23">INDIRECT(VLOOKUP('[3]- H -'!$G$17,'Antonio J'!tblEquipos,3,FALSE))</definedName>
    <definedName name="GH_C1" localSheetId="42">INDIRECT(VLOOKUP('[4]- H -'!$G$17,'Antonio L. Gonzalez'!tblEquipos,3,FALSE))</definedName>
    <definedName name="GH_C1" localSheetId="25">INDIRECT(VLOOKUP('[5]- H -'!$G$17,'Cristina Gonzalez'!tblEquipos,3,FALSE))</definedName>
    <definedName name="GH_C1" localSheetId="27">INDIRECT(VLOOKUP('[6]- H -'!$G$17,'Daniel Alonzo'!tblEquipos,3,FALSE))</definedName>
    <definedName name="GH_C1" localSheetId="32">INDIRECT(VLOOKUP('[7]- H -'!$G$17,'Daniel Parra'!tblEquipos,3,FALSE))</definedName>
    <definedName name="GH_C1" localSheetId="41">INDIRECT(VLOOKUP('[8]- H -'!$G$17,'Erika Guillen'!tblEquipos,3,FALSE))</definedName>
    <definedName name="GH_C1" localSheetId="38">INDIRECT(VLOOKUP('[9]- H -'!$G$17,'Felipe Silva Ardila'!tblEquipos,3,FALSE))</definedName>
    <definedName name="GH_C1" localSheetId="34">INDIRECT(VLOOKUP('[10]- H -'!$G$17,'Franco Rivero'!tblEquipos,3,FALSE))</definedName>
    <definedName name="GH_C1" localSheetId="31">INDIRECT(VLOOKUP('[11]- H -'!$G$17,'Gustavo Plaza'!tblEquipos,3,FALSE))</definedName>
    <definedName name="GH_C1" localSheetId="45">INDIRECT(VLOOKUP('[12]- H -'!$G$17,'Hernando Lopez'!tblEquipos,3,FALSE))</definedName>
    <definedName name="GH_C1" localSheetId="36">INDIRECT(VLOOKUP('[13]- H -'!$G$17,'Javier Ajjam'!tblEquipos,3,FALSE))</definedName>
    <definedName name="GH_C1" localSheetId="39">INDIRECT(VLOOKUP('[14]- H -'!$G$17,'Javier Nunez'!tblEquipos,3,FALSE))</definedName>
    <definedName name="GH_C1" localSheetId="37">INDIRECT(VLOOKUP('[14]- H -'!$G$17,'Javier Ochoa'!tblEquipos,3,FALSE))</definedName>
    <definedName name="GH_C1" localSheetId="26">INDIRECT(VLOOKUP('[15]- H -'!$G$17,'Jessica Gonzalez'!tblEquipos,3,FALSE))</definedName>
    <definedName name="GH_C1" localSheetId="43">INDIRECT(VLOOKUP('[4]- H -'!$G$17,'Jorge Gimenez'!tblEquipos,3,FALSE))</definedName>
    <definedName name="GH_C1" localSheetId="24">INDIRECT(VLOOKUP('[5]- H -'!$G$17,'Luis Escamillo'!tblEquipos,3,FALSE))</definedName>
    <definedName name="GH_C1" localSheetId="46">INDIRECT(VLOOKUP(#REF!,'Luis G Parra'!tblEquipos,3,FALSE))</definedName>
    <definedName name="GH_C1" localSheetId="40">INDIRECT(VLOOKUP('[16]- H -'!$G$17,'Luis Parilli'!tblEquipos,3,FALSE))</definedName>
    <definedName name="GH_C1" localSheetId="48">INDIRECT(VLOOKUP('[17]- H -'!$G$17,'Manuel Godin'!tblEquipos,3,FALSE))</definedName>
    <definedName name="GH_C1" localSheetId="22">INDIRECT(VLOOKUP('[18]- H -'!$G$17,'Manuel Godoy'!tblEquipos,3,FALSE))</definedName>
    <definedName name="GH_C1" localSheetId="50">INDIRECT(VLOOKUP('[24]- H -'!$G$17,'Matt Mciver'!tblEquipos,3,FALSE))</definedName>
    <definedName name="GH_C1" localSheetId="49">INDIRECT(VLOOKUP('[19]- H -'!$G$17,'Nayeem Khalid'!tblEquipos,3,FALSE))</definedName>
    <definedName name="GH_C1" localSheetId="47">INDIRECT(VLOOKUP('[20]- H -'!$G$17,'Pablo Ruggeri'!tblEquipos,3,FALSE))</definedName>
    <definedName name="GH_C1" localSheetId="35">INDIRECT(VLOOKUP('[5]- H -'!$G$17,'Ricardo Vielma'!tblEquipos,3,FALSE))</definedName>
    <definedName name="GH_C1" localSheetId="30">INDIRECT(VLOOKUP('[21]- H -'!$G$17,'Rodrigo Feliu'!tblEquipos,3,FALSE))</definedName>
    <definedName name="GH_C1" localSheetId="44">INDIRECT(VLOOKUP('[22]- H -'!$G$17,'Tomas Zirczy'!tblEquipos,3,FALSE))</definedName>
    <definedName name="GH_C1" localSheetId="33">INDIRECT(VLOOKUP('[23]- H -'!$G$17,'Valeria Rincon'!tblEquipos,3,FALSE))</definedName>
    <definedName name="GH_C1">INDIRECT(VLOOKUP('- H -'!$G$17,tblEquipos,3,FALSE))</definedName>
    <definedName name="GH_C2" localSheetId="29">INDIRECT(VLOOKUP('[1]- H -'!$G$18,'Akshat Turlybayev'!tblEquipos,3,FALSE))</definedName>
    <definedName name="GH_C2" localSheetId="28">INDIRECT(VLOOKUP('[2]- H -'!$G$18,'Andres Carvajal'!tblEquipos,3,FALSE))</definedName>
    <definedName name="GH_C2" localSheetId="23">INDIRECT(VLOOKUP('[3]- H -'!$G$18,'Antonio J'!tblEquipos,3,FALSE))</definedName>
    <definedName name="GH_C2" localSheetId="42">INDIRECT(VLOOKUP('[4]- H -'!$G$18,'Antonio L. Gonzalez'!tblEquipos,3,FALSE))</definedName>
    <definedName name="GH_C2" localSheetId="25">INDIRECT(VLOOKUP('[5]- H -'!$G$18,'Cristina Gonzalez'!tblEquipos,3,FALSE))</definedName>
    <definedName name="GH_C2" localSheetId="27">INDIRECT(VLOOKUP('[6]- H -'!$G$18,'Daniel Alonzo'!tblEquipos,3,FALSE))</definedName>
    <definedName name="GH_C2" localSheetId="32">INDIRECT(VLOOKUP('[7]- H -'!$G$18,'Daniel Parra'!tblEquipos,3,FALSE))</definedName>
    <definedName name="GH_C2" localSheetId="41">INDIRECT(VLOOKUP('[8]- H -'!$G$18,'Erika Guillen'!tblEquipos,3,FALSE))</definedName>
    <definedName name="GH_C2" localSheetId="38">INDIRECT(VLOOKUP('[9]- H -'!$G$18,'Felipe Silva Ardila'!tblEquipos,3,FALSE))</definedName>
    <definedName name="GH_C2" localSheetId="34">INDIRECT(VLOOKUP('[10]- H -'!$G$18,'Franco Rivero'!tblEquipos,3,FALSE))</definedName>
    <definedName name="GH_C2" localSheetId="31">INDIRECT(VLOOKUP('[11]- H -'!$G$18,'Gustavo Plaza'!tblEquipos,3,FALSE))</definedName>
    <definedName name="GH_C2" localSheetId="45">INDIRECT(VLOOKUP('[12]- H -'!$G$18,'Hernando Lopez'!tblEquipos,3,FALSE))</definedName>
    <definedName name="GH_C2" localSheetId="36">INDIRECT(VLOOKUP('[13]- H -'!$G$18,'Javier Ajjam'!tblEquipos,3,FALSE))</definedName>
    <definedName name="GH_C2" localSheetId="39">INDIRECT(VLOOKUP('[14]- H -'!$G$18,'Javier Nunez'!tblEquipos,3,FALSE))</definedName>
    <definedName name="GH_C2" localSheetId="37">INDIRECT(VLOOKUP('[14]- H -'!$G$18,'Javier Ochoa'!tblEquipos,3,FALSE))</definedName>
    <definedName name="GH_C2" localSheetId="26">INDIRECT(VLOOKUP('[15]- H -'!$G$18,'Jessica Gonzalez'!tblEquipos,3,FALSE))</definedName>
    <definedName name="GH_C2" localSheetId="43">INDIRECT(VLOOKUP('[4]- H -'!$G$18,'Jorge Gimenez'!tblEquipos,3,FALSE))</definedName>
    <definedName name="GH_C2" localSheetId="24">INDIRECT(VLOOKUP('[5]- H -'!$G$18,'Luis Escamillo'!tblEquipos,3,FALSE))</definedName>
    <definedName name="GH_C2" localSheetId="46">INDIRECT(VLOOKUP(#REF!,'Luis G Parra'!tblEquipos,3,FALSE))</definedName>
    <definedName name="GH_C2" localSheetId="40">INDIRECT(VLOOKUP('[16]- H -'!$G$18,'Luis Parilli'!tblEquipos,3,FALSE))</definedName>
    <definedName name="GH_C2" localSheetId="48">INDIRECT(VLOOKUP('[17]- H -'!$G$18,'Manuel Godin'!tblEquipos,3,FALSE))</definedName>
    <definedName name="GH_C2" localSheetId="22">INDIRECT(VLOOKUP('[18]- H -'!$G$18,'Manuel Godoy'!tblEquipos,3,FALSE))</definedName>
    <definedName name="GH_C2" localSheetId="50">INDIRECT(VLOOKUP('[24]- H -'!$G$18,'Matt Mciver'!tblEquipos,3,FALSE))</definedName>
    <definedName name="GH_C2" localSheetId="49">INDIRECT(VLOOKUP('[19]- H -'!$G$18,'Nayeem Khalid'!tblEquipos,3,FALSE))</definedName>
    <definedName name="GH_C2" localSheetId="47">INDIRECT(VLOOKUP('[20]- H -'!$G$18,'Pablo Ruggeri'!tblEquipos,3,FALSE))</definedName>
    <definedName name="GH_C2" localSheetId="35">INDIRECT(VLOOKUP('[5]- H -'!$G$18,'Ricardo Vielma'!tblEquipos,3,FALSE))</definedName>
    <definedName name="GH_C2" localSheetId="30">INDIRECT(VLOOKUP('[21]- H -'!$G$18,'Rodrigo Feliu'!tblEquipos,3,FALSE))</definedName>
    <definedName name="GH_C2" localSheetId="44">INDIRECT(VLOOKUP('[22]- H -'!$G$18,'Tomas Zirczy'!tblEquipos,3,FALSE))</definedName>
    <definedName name="GH_C2" localSheetId="33">INDIRECT(VLOOKUP('[23]- H -'!$G$18,'Valeria Rincon'!tblEquipos,3,FALSE))</definedName>
    <definedName name="GH_C2">INDIRECT(VLOOKUP('- H -'!$G$18,tblEquipos,3,FALSE))</definedName>
    <definedName name="Ghana">Config!$P$27</definedName>
    <definedName name="Grecia">Config!$P$11</definedName>
    <definedName name="Holanda">Config!$P$7</definedName>
    <definedName name="Honduras">Config!$P$19</definedName>
    <definedName name="Inglaterra">Config!$P$14</definedName>
    <definedName name="Iran">Config!$P$23</definedName>
    <definedName name="Italia">Config!$P$16</definedName>
    <definedName name="Japon">Config!$P$12</definedName>
    <definedName name="List_Horas" localSheetId="29">[1]Config!$A$3:$A$265</definedName>
    <definedName name="List_Horas" localSheetId="28">[2]Config!$A$3:$A$265</definedName>
    <definedName name="List_Horas" localSheetId="23">[3]Config!$A$3:$A$265</definedName>
    <definedName name="List_Horas" localSheetId="42">[4]Config!$A$3:$A$265</definedName>
    <definedName name="List_Horas" localSheetId="25">[5]Config!$A$3:$A$265</definedName>
    <definedName name="List_Horas" localSheetId="27">[6]Config!$A$3:$A$265</definedName>
    <definedName name="List_Horas" localSheetId="32">[7]Config!$A$3:$A$265</definedName>
    <definedName name="List_Horas" localSheetId="41">[8]Config!$A$3:$A$265</definedName>
    <definedName name="List_Horas" localSheetId="38">[9]Config!$A$3:$A$265</definedName>
    <definedName name="List_Horas" localSheetId="34">[10]Config!$A$3:$A$265</definedName>
    <definedName name="List_Horas" localSheetId="31">[11]Config!$A$3:$A$265</definedName>
    <definedName name="List_Horas" localSheetId="45">[12]Config!$A$3:$A$265</definedName>
    <definedName name="List_Horas" localSheetId="36">[13]Config!$A$3:$A$265</definedName>
    <definedName name="List_Horas" localSheetId="39">[14]Config!$A$3:$A$265</definedName>
    <definedName name="List_Horas" localSheetId="37">[14]Config!$A$3:$A$265</definedName>
    <definedName name="List_Horas" localSheetId="26">[15]Config!$A$3:$A$265</definedName>
    <definedName name="List_Horas" localSheetId="43">[4]Config!$A$3:$A$265</definedName>
    <definedName name="List_Horas" localSheetId="24">[5]Config!$A$3:$A$265</definedName>
    <definedName name="List_Horas" localSheetId="46">#REF!</definedName>
    <definedName name="List_Horas" localSheetId="40">[16]Config!$A$3:$A$265</definedName>
    <definedName name="List_Horas" localSheetId="48">[17]Config!$A$3:$A$265</definedName>
    <definedName name="List_Horas" localSheetId="22">[18]Config!$A$3:$A$265</definedName>
    <definedName name="List_Horas" localSheetId="50">[24]Config!$A$3:$A$265</definedName>
    <definedName name="List_Horas" localSheetId="49">[19]Config!$A$3:$A$265</definedName>
    <definedName name="List_Horas" localSheetId="47">[20]Config!$A$3:$A$265</definedName>
    <definedName name="List_Horas" localSheetId="35">[5]Config!$A$3:$A$265</definedName>
    <definedName name="List_Horas" localSheetId="30">[21]Config!$A$3:$A$265</definedName>
    <definedName name="List_Horas" localSheetId="44">[22]Config!$A$3:$A$265</definedName>
    <definedName name="List_Horas" localSheetId="33">[23]Config!$A$3:$A$265</definedName>
    <definedName name="List_Horas">Config!$A$3:$A$265</definedName>
    <definedName name="Mexico">Config!$P$2</definedName>
    <definedName name="Nigeria">Config!$P$24</definedName>
    <definedName name="Portugal">Config!$P$26</definedName>
    <definedName name="Rusia">Config!$P$31</definedName>
    <definedName name="SinDatos">Config!$P$33</definedName>
    <definedName name="Suiza">Config!$P$17</definedName>
    <definedName name="tblCalEsta" localSheetId="18">'Calculos M'!$AX$1:$BM$33</definedName>
    <definedName name="tblCalEsta" localSheetId="19">CalculosAntonio!$AX$1:$BM$33</definedName>
    <definedName name="tblCalEsta">Calculos!$AX$1:$BM$33</definedName>
    <definedName name="tblEquipos" localSheetId="29">[1]Config!$O$1:$R$33</definedName>
    <definedName name="tblEquipos" localSheetId="28">[2]Config!$O$1:$R$33</definedName>
    <definedName name="tblEquipos" localSheetId="23">[3]Config!$O$1:$R$33</definedName>
    <definedName name="tblEquipos" localSheetId="42">[4]Config!$O$1:$R$33</definedName>
    <definedName name="tblEquipos" localSheetId="25">[5]Config!$O$1:$R$33</definedName>
    <definedName name="tblEquipos" localSheetId="27">[6]Config!$O$1:$R$33</definedName>
    <definedName name="tblEquipos" localSheetId="32">[7]Config!$O$1:$R$33</definedName>
    <definedName name="tblEquipos" localSheetId="41">[8]Config!$O$1:$R$33</definedName>
    <definedName name="tblEquipos" localSheetId="38">[9]Config!$O$1:$R$33</definedName>
    <definedName name="tblEquipos" localSheetId="34">[10]Config!$O$1:$R$33</definedName>
    <definedName name="tblEquipos" localSheetId="31">[11]Config!$O$1:$R$33</definedName>
    <definedName name="tblEquipos" localSheetId="45">[12]Config!$O$1:$R$33</definedName>
    <definedName name="tblEquipos" localSheetId="36">[13]Config!$O$1:$R$33</definedName>
    <definedName name="tblEquipos" localSheetId="39">[14]Config!$O$1:$R$33</definedName>
    <definedName name="tblEquipos" localSheetId="37">[14]Config!$O$1:$R$33</definedName>
    <definedName name="tblEquipos" localSheetId="26">[15]Config!$O$1:$R$33</definedName>
    <definedName name="tblEquipos" localSheetId="43">[4]Config!$O$1:$R$33</definedName>
    <definedName name="tblEquipos" localSheetId="24">[5]Config!$O$1:$R$33</definedName>
    <definedName name="tblEquipos" localSheetId="46">#REF!</definedName>
    <definedName name="tblEquipos" localSheetId="40">[16]Config!$O$1:$R$33</definedName>
    <definedName name="tblEquipos" localSheetId="48">[17]Config!$O$1:$R$33</definedName>
    <definedName name="tblEquipos" localSheetId="22">[18]Config!$O$1:$R$33</definedName>
    <definedName name="tblEquipos" localSheetId="50">[24]Config!$O$1:$R$33</definedName>
    <definedName name="tblEquipos" localSheetId="49">[19]Config!$O$1:$R$33</definedName>
    <definedName name="tblEquipos" localSheetId="47">[20]Config!$O$1:$R$33</definedName>
    <definedName name="tblEquipos" localSheetId="35">[5]Config!$O$1:$R$33</definedName>
    <definedName name="tblEquipos" localSheetId="30">[21]Config!$O$1:$R$33</definedName>
    <definedName name="tblEquipos" localSheetId="44">[22]Config!$O$1:$R$33</definedName>
    <definedName name="tblEquipos" localSheetId="33">[23]Config!$O$1:$R$33</definedName>
    <definedName name="tblEquipos">Config!$O$1:$R$33</definedName>
    <definedName name="tblOrdena">Estadisticas!$D$5:$D$36</definedName>
    <definedName name="Uruguay">Config!$P$13</definedName>
    <definedName name="Usa">Config!$P$28</definedName>
  </definedNames>
  <calcPr calcId="145621"/>
</workbook>
</file>

<file path=xl/calcChain.xml><?xml version="1.0" encoding="utf-8"?>
<calcChain xmlns="http://schemas.openxmlformats.org/spreadsheetml/2006/main">
  <c r="S5" i="54" l="1"/>
  <c r="J9" i="54"/>
  <c r="J22" i="54"/>
  <c r="J2" i="54" s="1"/>
  <c r="K22" i="54"/>
  <c r="J3" i="54" s="1"/>
  <c r="J23" i="54"/>
  <c r="AC24" i="54"/>
  <c r="J6" i="54" s="1"/>
  <c r="AD24" i="54"/>
  <c r="AC25" i="54" s="1"/>
  <c r="AE24" i="54"/>
  <c r="AF24" i="54"/>
  <c r="J5" i="54" s="1"/>
  <c r="J33" i="54"/>
  <c r="K33" i="54"/>
  <c r="J34" i="54"/>
  <c r="AC34" i="54"/>
  <c r="AD34" i="54"/>
  <c r="AC35" i="54" s="1"/>
  <c r="AE34" i="54"/>
  <c r="AF34" i="54"/>
  <c r="AC42" i="54"/>
  <c r="J8" i="54" s="1"/>
  <c r="AD42" i="54"/>
  <c r="AE42" i="54"/>
  <c r="J4" i="54" s="1"/>
  <c r="AF42" i="54"/>
  <c r="AC43" i="54"/>
  <c r="J44" i="54"/>
  <c r="K44" i="54"/>
  <c r="J45" i="54" s="1"/>
  <c r="AC49" i="54"/>
  <c r="J55" i="54"/>
  <c r="K55" i="54"/>
  <c r="J56" i="54" s="1"/>
  <c r="AC57" i="54"/>
  <c r="J66" i="54"/>
  <c r="K66" i="54"/>
  <c r="J67" i="54" s="1"/>
  <c r="J77" i="54"/>
  <c r="K77" i="54"/>
  <c r="J78" i="54"/>
  <c r="J88" i="54"/>
  <c r="K88" i="54"/>
  <c r="J89" i="54" s="1"/>
  <c r="J99" i="54"/>
  <c r="K99" i="54"/>
  <c r="J100" i="54"/>
  <c r="J7" i="54" l="1"/>
  <c r="J10" i="54" s="1"/>
  <c r="S5" i="52"/>
  <c r="J9" i="52"/>
  <c r="J22" i="52"/>
  <c r="J2" i="52" s="1"/>
  <c r="K22" i="52"/>
  <c r="J3" i="52" s="1"/>
  <c r="J23" i="52"/>
  <c r="AC24" i="52"/>
  <c r="J6" i="52" s="1"/>
  <c r="AD24" i="52"/>
  <c r="AC25" i="52" s="1"/>
  <c r="AE24" i="52"/>
  <c r="J4" i="52" s="1"/>
  <c r="AF24" i="52"/>
  <c r="J5" i="52" s="1"/>
  <c r="J33" i="52"/>
  <c r="K33" i="52"/>
  <c r="J34" i="52"/>
  <c r="AC34" i="52"/>
  <c r="J7" i="52" s="1"/>
  <c r="AD34" i="52"/>
  <c r="AC35" i="52" s="1"/>
  <c r="AE34" i="52"/>
  <c r="AF34" i="52"/>
  <c r="AC42" i="52"/>
  <c r="J8" i="52" s="1"/>
  <c r="AD42" i="52"/>
  <c r="AE42" i="52"/>
  <c r="AF42" i="52"/>
  <c r="AC43" i="52"/>
  <c r="J44" i="52"/>
  <c r="K44" i="52"/>
  <c r="J45" i="52" s="1"/>
  <c r="AC49" i="52"/>
  <c r="J55" i="52"/>
  <c r="K55" i="52"/>
  <c r="J56" i="52" s="1"/>
  <c r="AC57" i="52"/>
  <c r="J66" i="52"/>
  <c r="K66" i="52"/>
  <c r="J67" i="52" s="1"/>
  <c r="J77" i="52"/>
  <c r="K77" i="52"/>
  <c r="J78" i="52"/>
  <c r="J88" i="52"/>
  <c r="K88" i="52"/>
  <c r="J89" i="52"/>
  <c r="J99" i="52"/>
  <c r="K99" i="52"/>
  <c r="J100" i="52"/>
  <c r="J10" i="52" l="1"/>
  <c r="S5" i="51"/>
  <c r="J9" i="51"/>
  <c r="J22" i="51"/>
  <c r="J2" i="51" s="1"/>
  <c r="K22" i="51"/>
  <c r="J23" i="51" s="1"/>
  <c r="AC24" i="51"/>
  <c r="J6" i="51" s="1"/>
  <c r="AD24" i="51"/>
  <c r="AE24" i="51"/>
  <c r="J4" i="51" s="1"/>
  <c r="AF24" i="51"/>
  <c r="AC25" i="51"/>
  <c r="J33" i="51"/>
  <c r="K33" i="51"/>
  <c r="J34" i="51" s="1"/>
  <c r="AC34" i="51"/>
  <c r="J7" i="51" s="1"/>
  <c r="AD34" i="51"/>
  <c r="AE34" i="51"/>
  <c r="AF34" i="51"/>
  <c r="AC35" i="51"/>
  <c r="AC42" i="51"/>
  <c r="AD42" i="51"/>
  <c r="AC43" i="51" s="1"/>
  <c r="AE42" i="51"/>
  <c r="AF42" i="51"/>
  <c r="J5" i="51" s="1"/>
  <c r="J44" i="51"/>
  <c r="K44" i="51"/>
  <c r="J45" i="51"/>
  <c r="AC49" i="51"/>
  <c r="J55" i="51"/>
  <c r="K55" i="51"/>
  <c r="J56" i="51"/>
  <c r="AC57" i="51"/>
  <c r="J66" i="51"/>
  <c r="K66" i="51"/>
  <c r="J67" i="51"/>
  <c r="J77" i="51"/>
  <c r="K77" i="51"/>
  <c r="J78" i="51" s="1"/>
  <c r="J88" i="51"/>
  <c r="K88" i="51"/>
  <c r="J89" i="51"/>
  <c r="J99" i="51"/>
  <c r="K99" i="51"/>
  <c r="J100" i="51" s="1"/>
  <c r="J8" i="51" l="1"/>
  <c r="J3" i="51"/>
  <c r="J10" i="51" s="1"/>
  <c r="S5" i="49" l="1"/>
  <c r="J9" i="49"/>
  <c r="J22" i="49"/>
  <c r="J2" i="49" s="1"/>
  <c r="K22" i="49"/>
  <c r="J23" i="49" s="1"/>
  <c r="AC24" i="49"/>
  <c r="J6" i="49" s="1"/>
  <c r="AD24" i="49"/>
  <c r="AE24" i="49"/>
  <c r="J4" i="49" s="1"/>
  <c r="AF24" i="49"/>
  <c r="AC25" i="49"/>
  <c r="J33" i="49"/>
  <c r="K33" i="49"/>
  <c r="J34" i="49" s="1"/>
  <c r="AC34" i="49"/>
  <c r="J7" i="49" s="1"/>
  <c r="AD34" i="49"/>
  <c r="AE34" i="49"/>
  <c r="AF34" i="49"/>
  <c r="AC35" i="49"/>
  <c r="AC42" i="49"/>
  <c r="AD42" i="49"/>
  <c r="AC43" i="49" s="1"/>
  <c r="AE42" i="49"/>
  <c r="AF42" i="49"/>
  <c r="J5" i="49" s="1"/>
  <c r="J44" i="49"/>
  <c r="K44" i="49"/>
  <c r="J45" i="49"/>
  <c r="AC49" i="49"/>
  <c r="J55" i="49"/>
  <c r="K55" i="49"/>
  <c r="J56" i="49"/>
  <c r="AC57" i="49"/>
  <c r="J66" i="49"/>
  <c r="K66" i="49"/>
  <c r="J67" i="49"/>
  <c r="J77" i="49"/>
  <c r="K77" i="49"/>
  <c r="J78" i="49" s="1"/>
  <c r="J88" i="49"/>
  <c r="K88" i="49"/>
  <c r="J89" i="49"/>
  <c r="J99" i="49"/>
  <c r="K99" i="49"/>
  <c r="J100" i="49" s="1"/>
  <c r="J8" i="49" l="1"/>
  <c r="J3" i="49"/>
  <c r="J10" i="49" s="1"/>
  <c r="S5" i="48" l="1"/>
  <c r="J9" i="48"/>
  <c r="J22" i="48"/>
  <c r="J2" i="48" s="1"/>
  <c r="K22" i="48"/>
  <c r="J3" i="48" s="1"/>
  <c r="J23" i="48"/>
  <c r="AC24" i="48"/>
  <c r="J6" i="48" s="1"/>
  <c r="AD24" i="48"/>
  <c r="AC25" i="48" s="1"/>
  <c r="AE24" i="48"/>
  <c r="J4" i="48" s="1"/>
  <c r="AF24" i="48"/>
  <c r="J5" i="48" s="1"/>
  <c r="J33" i="48"/>
  <c r="K33" i="48"/>
  <c r="J34" i="48"/>
  <c r="AC34" i="48"/>
  <c r="J7" i="48" s="1"/>
  <c r="AD34" i="48"/>
  <c r="AC35" i="48" s="1"/>
  <c r="AE34" i="48"/>
  <c r="AF34" i="48"/>
  <c r="AC42" i="48"/>
  <c r="J8" i="48" s="1"/>
  <c r="AD42" i="48"/>
  <c r="AE42" i="48"/>
  <c r="AF42" i="48"/>
  <c r="AC43" i="48"/>
  <c r="J44" i="48"/>
  <c r="K44" i="48"/>
  <c r="J45" i="48" s="1"/>
  <c r="AC49" i="48"/>
  <c r="J55" i="48"/>
  <c r="K55" i="48"/>
  <c r="J56" i="48"/>
  <c r="AC57" i="48"/>
  <c r="J66" i="48"/>
  <c r="K66" i="48"/>
  <c r="J67" i="48"/>
  <c r="J77" i="48"/>
  <c r="K77" i="48"/>
  <c r="J78" i="48"/>
  <c r="J88" i="48"/>
  <c r="K88" i="48"/>
  <c r="J89" i="48"/>
  <c r="J99" i="48"/>
  <c r="K99" i="48"/>
  <c r="J100" i="48"/>
  <c r="S5" i="47"/>
  <c r="J9" i="47"/>
  <c r="J22" i="47"/>
  <c r="J2" i="47" s="1"/>
  <c r="K22" i="47"/>
  <c r="J23" i="47" s="1"/>
  <c r="AC24" i="47"/>
  <c r="J6" i="47" s="1"/>
  <c r="AD24" i="47"/>
  <c r="AE24" i="47"/>
  <c r="J4" i="47" s="1"/>
  <c r="AF24" i="47"/>
  <c r="AC25" i="47"/>
  <c r="J33" i="47"/>
  <c r="K33" i="47"/>
  <c r="J34" i="47" s="1"/>
  <c r="AC34" i="47"/>
  <c r="J7" i="47" s="1"/>
  <c r="AD34" i="47"/>
  <c r="AE34" i="47"/>
  <c r="AF34" i="47"/>
  <c r="AC35" i="47"/>
  <c r="AC42" i="47"/>
  <c r="AD42" i="47"/>
  <c r="AC43" i="47" s="1"/>
  <c r="AE42" i="47"/>
  <c r="AF42" i="47"/>
  <c r="J5" i="47" s="1"/>
  <c r="J44" i="47"/>
  <c r="K44" i="47"/>
  <c r="J45" i="47"/>
  <c r="AC49" i="47"/>
  <c r="J55" i="47"/>
  <c r="K55" i="47"/>
  <c r="J56" i="47"/>
  <c r="AC57" i="47"/>
  <c r="J66" i="47"/>
  <c r="K66" i="47"/>
  <c r="J67" i="47"/>
  <c r="J77" i="47"/>
  <c r="K77" i="47"/>
  <c r="J78" i="47" s="1"/>
  <c r="J88" i="47"/>
  <c r="J89" i="47" s="1"/>
  <c r="K88" i="47"/>
  <c r="J99" i="47"/>
  <c r="K99" i="47"/>
  <c r="J100" i="47" s="1"/>
  <c r="S5" i="46"/>
  <c r="J9" i="46"/>
  <c r="J22" i="46"/>
  <c r="J2" i="46" s="1"/>
  <c r="K22" i="46"/>
  <c r="J23" i="46" s="1"/>
  <c r="AC24" i="46"/>
  <c r="J6" i="46" s="1"/>
  <c r="AD24" i="46"/>
  <c r="AE24" i="46"/>
  <c r="J4" i="46" s="1"/>
  <c r="AF24" i="46"/>
  <c r="AC25" i="46"/>
  <c r="J33" i="46"/>
  <c r="K33" i="46"/>
  <c r="J34" i="46" s="1"/>
  <c r="AC34" i="46"/>
  <c r="J7" i="46" s="1"/>
  <c r="AD34" i="46"/>
  <c r="AE34" i="46"/>
  <c r="AF34" i="46"/>
  <c r="AC35" i="46"/>
  <c r="AC42" i="46"/>
  <c r="AD42" i="46"/>
  <c r="AC43" i="46" s="1"/>
  <c r="AE42" i="46"/>
  <c r="AF42" i="46"/>
  <c r="J5" i="46" s="1"/>
  <c r="J44" i="46"/>
  <c r="K44" i="46"/>
  <c r="J45" i="46"/>
  <c r="AC49" i="46"/>
  <c r="J55" i="46"/>
  <c r="K55" i="46"/>
  <c r="J56" i="46"/>
  <c r="AC57" i="46"/>
  <c r="J66" i="46"/>
  <c r="K66" i="46"/>
  <c r="J67" i="46"/>
  <c r="J77" i="46"/>
  <c r="K77" i="46"/>
  <c r="J78" i="46" s="1"/>
  <c r="J88" i="46"/>
  <c r="K88" i="46"/>
  <c r="J89" i="46"/>
  <c r="J99" i="46"/>
  <c r="K99" i="46"/>
  <c r="J100" i="46" s="1"/>
  <c r="S5" i="45"/>
  <c r="J9" i="45"/>
  <c r="J22" i="45"/>
  <c r="K22" i="45"/>
  <c r="J23" i="45"/>
  <c r="AC24" i="45"/>
  <c r="AD24" i="45"/>
  <c r="AE24" i="45"/>
  <c r="AF24" i="45"/>
  <c r="J33" i="45"/>
  <c r="K33" i="45"/>
  <c r="J34" i="45" s="1"/>
  <c r="AC34" i="45"/>
  <c r="J7" i="45" s="1"/>
  <c r="AD34" i="45"/>
  <c r="AE34" i="45"/>
  <c r="AF34" i="45"/>
  <c r="AC42" i="45"/>
  <c r="J8" i="45" s="1"/>
  <c r="AD42" i="45"/>
  <c r="AE42" i="45"/>
  <c r="AF42" i="45"/>
  <c r="AC43" i="45"/>
  <c r="J44" i="45"/>
  <c r="K44" i="45"/>
  <c r="J45" i="45" s="1"/>
  <c r="AC49" i="45"/>
  <c r="J55" i="45"/>
  <c r="K55" i="45"/>
  <c r="AC57" i="45"/>
  <c r="J66" i="45"/>
  <c r="K66" i="45"/>
  <c r="J67" i="45" s="1"/>
  <c r="J77" i="45"/>
  <c r="K77" i="45"/>
  <c r="J78" i="45" s="1"/>
  <c r="J88" i="45"/>
  <c r="K88" i="45"/>
  <c r="J99" i="45"/>
  <c r="K99" i="45"/>
  <c r="J100" i="45"/>
  <c r="S5" i="44"/>
  <c r="J9" i="44"/>
  <c r="J22" i="44"/>
  <c r="K22" i="44"/>
  <c r="J23" i="44"/>
  <c r="AC24" i="44"/>
  <c r="AD24" i="44"/>
  <c r="AE24" i="44"/>
  <c r="AF24" i="44"/>
  <c r="J33" i="44"/>
  <c r="K33" i="44"/>
  <c r="J34" i="44" s="1"/>
  <c r="AC34" i="44"/>
  <c r="AD34" i="44"/>
  <c r="AE34" i="44"/>
  <c r="AF34" i="44"/>
  <c r="AC42" i="44"/>
  <c r="J8" i="44" s="1"/>
  <c r="AD42" i="44"/>
  <c r="AE42" i="44"/>
  <c r="J4" i="44" s="1"/>
  <c r="AF42" i="44"/>
  <c r="AC43" i="44"/>
  <c r="J44" i="44"/>
  <c r="K44" i="44"/>
  <c r="J45" i="44" s="1"/>
  <c r="AC49" i="44"/>
  <c r="J55" i="44"/>
  <c r="K55" i="44"/>
  <c r="AC57" i="44"/>
  <c r="J66" i="44"/>
  <c r="K66" i="44"/>
  <c r="J67" i="44" s="1"/>
  <c r="J77" i="44"/>
  <c r="K77" i="44"/>
  <c r="J78" i="44" s="1"/>
  <c r="J88" i="44"/>
  <c r="K88" i="44"/>
  <c r="J99" i="44"/>
  <c r="K99" i="44"/>
  <c r="J100" i="44"/>
  <c r="S5" i="43"/>
  <c r="J9" i="43"/>
  <c r="J22" i="43"/>
  <c r="K22" i="43"/>
  <c r="J23" i="43"/>
  <c r="AC24" i="43"/>
  <c r="J6" i="43" s="1"/>
  <c r="AD24" i="43"/>
  <c r="AE24" i="43"/>
  <c r="AF24" i="43"/>
  <c r="J33" i="43"/>
  <c r="K33" i="43"/>
  <c r="J34" i="43"/>
  <c r="AC34" i="43"/>
  <c r="AD34" i="43"/>
  <c r="AE34" i="43"/>
  <c r="AF34" i="43"/>
  <c r="AC42" i="43"/>
  <c r="J8" i="43" s="1"/>
  <c r="AD42" i="43"/>
  <c r="AE42" i="43"/>
  <c r="AF42" i="43"/>
  <c r="AC43" i="43"/>
  <c r="J44" i="43"/>
  <c r="K44" i="43"/>
  <c r="J45" i="43" s="1"/>
  <c r="AC49" i="43"/>
  <c r="J55" i="43"/>
  <c r="K55" i="43"/>
  <c r="AC57" i="43"/>
  <c r="J66" i="43"/>
  <c r="K66" i="43"/>
  <c r="J67" i="43" s="1"/>
  <c r="J77" i="43"/>
  <c r="K77" i="43"/>
  <c r="J78" i="43" s="1"/>
  <c r="J88" i="43"/>
  <c r="K88" i="43"/>
  <c r="J89" i="43" s="1"/>
  <c r="J99" i="43"/>
  <c r="K99" i="43"/>
  <c r="J100" i="43"/>
  <c r="J10" i="48" l="1"/>
  <c r="J8" i="47"/>
  <c r="J3" i="47"/>
  <c r="J10" i="47" s="1"/>
  <c r="J8" i="46"/>
  <c r="J3" i="46"/>
  <c r="J10" i="46" s="1"/>
  <c r="J56" i="43"/>
  <c r="AC35" i="43"/>
  <c r="J4" i="43"/>
  <c r="J3" i="43"/>
  <c r="J5" i="44"/>
  <c r="AC25" i="44"/>
  <c r="J2" i="44"/>
  <c r="J89" i="45"/>
  <c r="J56" i="45"/>
  <c r="AC35" i="45"/>
  <c r="J4" i="45"/>
  <c r="J6" i="45"/>
  <c r="J3" i="45"/>
  <c r="J7" i="43"/>
  <c r="J5" i="43"/>
  <c r="AC25" i="43"/>
  <c r="J2" i="43"/>
  <c r="J89" i="44"/>
  <c r="J56" i="44"/>
  <c r="AC35" i="44"/>
  <c r="J6" i="44"/>
  <c r="J3" i="44"/>
  <c r="J5" i="45"/>
  <c r="AC25" i="45"/>
  <c r="J2" i="45"/>
  <c r="J10" i="45" s="1"/>
  <c r="J10" i="44"/>
  <c r="J7" i="44"/>
  <c r="J10" i="43"/>
  <c r="S5" i="42" l="1"/>
  <c r="J9" i="42"/>
  <c r="J22" i="42"/>
  <c r="K22" i="42"/>
  <c r="J23" i="42"/>
  <c r="AC24" i="42"/>
  <c r="AD24" i="42"/>
  <c r="AE24" i="42"/>
  <c r="AF24" i="42"/>
  <c r="J5" i="42" s="1"/>
  <c r="J33" i="42"/>
  <c r="K33" i="42"/>
  <c r="J34" i="42" s="1"/>
  <c r="AC34" i="42"/>
  <c r="J7" i="42" s="1"/>
  <c r="AD34" i="42"/>
  <c r="AE34" i="42"/>
  <c r="AF34" i="42"/>
  <c r="AC42" i="42"/>
  <c r="J8" i="42" s="1"/>
  <c r="AD42" i="42"/>
  <c r="AE42" i="42"/>
  <c r="AF42" i="42"/>
  <c r="AC43" i="42"/>
  <c r="J44" i="42"/>
  <c r="K44" i="42"/>
  <c r="J45" i="42" s="1"/>
  <c r="AC49" i="42"/>
  <c r="J55" i="42"/>
  <c r="K55" i="42"/>
  <c r="AC57" i="42"/>
  <c r="J66" i="42"/>
  <c r="K66" i="42"/>
  <c r="J67" i="42" s="1"/>
  <c r="J77" i="42"/>
  <c r="K77" i="42"/>
  <c r="J78" i="42" s="1"/>
  <c r="J88" i="42"/>
  <c r="K88" i="42"/>
  <c r="J99" i="42"/>
  <c r="K99" i="42"/>
  <c r="J100" i="42"/>
  <c r="S5" i="41"/>
  <c r="J9" i="41"/>
  <c r="J22" i="41"/>
  <c r="K22" i="41"/>
  <c r="J23" i="41" s="1"/>
  <c r="AC24" i="41"/>
  <c r="J6" i="41" s="1"/>
  <c r="AD24" i="41"/>
  <c r="AE24" i="41"/>
  <c r="J4" i="41" s="1"/>
  <c r="AF24" i="41"/>
  <c r="J33" i="41"/>
  <c r="K33" i="41"/>
  <c r="J34" i="41"/>
  <c r="AC34" i="41"/>
  <c r="AD34" i="41"/>
  <c r="AE34" i="41"/>
  <c r="AF34" i="41"/>
  <c r="AC42" i="41"/>
  <c r="AD42" i="41"/>
  <c r="AC43" i="41" s="1"/>
  <c r="AE42" i="41"/>
  <c r="AF42" i="41"/>
  <c r="J44" i="41"/>
  <c r="K44" i="41"/>
  <c r="AC49" i="41"/>
  <c r="J55" i="41"/>
  <c r="K55" i="41"/>
  <c r="J56" i="41" s="1"/>
  <c r="AC57" i="41"/>
  <c r="J66" i="41"/>
  <c r="K66" i="41"/>
  <c r="J77" i="41"/>
  <c r="K77" i="41"/>
  <c r="J78" i="41"/>
  <c r="J88" i="41"/>
  <c r="K88" i="41"/>
  <c r="J89" i="41" s="1"/>
  <c r="J99" i="41"/>
  <c r="K99" i="41"/>
  <c r="J100" i="41" s="1"/>
  <c r="J67" i="41" l="1"/>
  <c r="J45" i="41"/>
  <c r="J8" i="41"/>
  <c r="J7" i="41"/>
  <c r="J5" i="41"/>
  <c r="AC25" i="41"/>
  <c r="J2" i="41"/>
  <c r="J89" i="42"/>
  <c r="J56" i="42"/>
  <c r="AC35" i="42"/>
  <c r="J4" i="42"/>
  <c r="J6" i="42"/>
  <c r="J3" i="42"/>
  <c r="AC35" i="41"/>
  <c r="J3" i="41"/>
  <c r="AC25" i="42"/>
  <c r="J2" i="42"/>
  <c r="J10" i="42" s="1"/>
  <c r="J10" i="41"/>
  <c r="S5" i="40" l="1"/>
  <c r="J9" i="40"/>
  <c r="J22" i="40"/>
  <c r="K22" i="40"/>
  <c r="J23" i="40"/>
  <c r="AC24" i="40"/>
  <c r="AD24" i="40"/>
  <c r="AE24" i="40"/>
  <c r="AF24" i="40"/>
  <c r="J5" i="40" s="1"/>
  <c r="J33" i="40"/>
  <c r="K33" i="40"/>
  <c r="J34" i="40" s="1"/>
  <c r="AC34" i="40"/>
  <c r="AD34" i="40"/>
  <c r="AE34" i="40"/>
  <c r="AF34" i="40"/>
  <c r="AC42" i="40"/>
  <c r="J8" i="40" s="1"/>
  <c r="AD42" i="40"/>
  <c r="AE42" i="40"/>
  <c r="J4" i="40" s="1"/>
  <c r="AF42" i="40"/>
  <c r="AC43" i="40"/>
  <c r="J44" i="40"/>
  <c r="K44" i="40"/>
  <c r="J45" i="40" s="1"/>
  <c r="AC49" i="40"/>
  <c r="J55" i="40"/>
  <c r="K55" i="40"/>
  <c r="AC57" i="40"/>
  <c r="J66" i="40"/>
  <c r="K66" i="40"/>
  <c r="J67" i="40" s="1"/>
  <c r="J77" i="40"/>
  <c r="K77" i="40"/>
  <c r="J78" i="40" s="1"/>
  <c r="J88" i="40"/>
  <c r="K88" i="40"/>
  <c r="J99" i="40"/>
  <c r="K99" i="40"/>
  <c r="J100" i="40"/>
  <c r="S5" i="39"/>
  <c r="J9" i="39"/>
  <c r="J22" i="39"/>
  <c r="K22" i="39"/>
  <c r="J23" i="39" s="1"/>
  <c r="AC24" i="39"/>
  <c r="J6" i="39" s="1"/>
  <c r="AD24" i="39"/>
  <c r="AE24" i="39"/>
  <c r="J4" i="39" s="1"/>
  <c r="AF24" i="39"/>
  <c r="J33" i="39"/>
  <c r="K33" i="39"/>
  <c r="J34" i="39"/>
  <c r="AC34" i="39"/>
  <c r="AD34" i="39"/>
  <c r="AE34" i="39"/>
  <c r="AF34" i="39"/>
  <c r="AC42" i="39"/>
  <c r="AD42" i="39"/>
  <c r="AC43" i="39" s="1"/>
  <c r="AE42" i="39"/>
  <c r="AF42" i="39"/>
  <c r="J44" i="39"/>
  <c r="K44" i="39"/>
  <c r="AC49" i="39"/>
  <c r="J55" i="39"/>
  <c r="K55" i="39"/>
  <c r="J56" i="39" s="1"/>
  <c r="AC57" i="39"/>
  <c r="J66" i="39"/>
  <c r="K66" i="39"/>
  <c r="J77" i="39"/>
  <c r="K77" i="39"/>
  <c r="J78" i="39"/>
  <c r="J88" i="39"/>
  <c r="K88" i="39"/>
  <c r="J89" i="39" s="1"/>
  <c r="J99" i="39"/>
  <c r="K99" i="39"/>
  <c r="J100" i="39" s="1"/>
  <c r="S5" i="38"/>
  <c r="J9" i="38"/>
  <c r="J22" i="38"/>
  <c r="K22" i="38"/>
  <c r="J23" i="38"/>
  <c r="AC24" i="38"/>
  <c r="AD24" i="38"/>
  <c r="AE24" i="38"/>
  <c r="AF24" i="38"/>
  <c r="J5" i="38" s="1"/>
  <c r="J33" i="38"/>
  <c r="K33" i="38"/>
  <c r="J34" i="38" s="1"/>
  <c r="AC34" i="38"/>
  <c r="AD34" i="38"/>
  <c r="AE34" i="38"/>
  <c r="AF34" i="38"/>
  <c r="AC42" i="38"/>
  <c r="J8" i="38" s="1"/>
  <c r="AD42" i="38"/>
  <c r="AE42" i="38"/>
  <c r="AF42" i="38"/>
  <c r="AC43" i="38"/>
  <c r="J44" i="38"/>
  <c r="K44" i="38"/>
  <c r="J45" i="38" s="1"/>
  <c r="AC49" i="38"/>
  <c r="J55" i="38"/>
  <c r="K55" i="38"/>
  <c r="AC57" i="38"/>
  <c r="J66" i="38"/>
  <c r="K66" i="38"/>
  <c r="J67" i="38" s="1"/>
  <c r="J77" i="38"/>
  <c r="K77" i="38"/>
  <c r="J78" i="38" s="1"/>
  <c r="J88" i="38"/>
  <c r="K88" i="38"/>
  <c r="J99" i="38"/>
  <c r="K99" i="38"/>
  <c r="J100" i="38"/>
  <c r="S5" i="37"/>
  <c r="J9" i="37"/>
  <c r="J22" i="37"/>
  <c r="K22" i="37"/>
  <c r="J23" i="37" s="1"/>
  <c r="AC24" i="37"/>
  <c r="J6" i="37" s="1"/>
  <c r="AD24" i="37"/>
  <c r="AE24" i="37"/>
  <c r="AF24" i="37"/>
  <c r="J33" i="37"/>
  <c r="K33" i="37"/>
  <c r="J34" i="37"/>
  <c r="AC34" i="37"/>
  <c r="AD34" i="37"/>
  <c r="AE34" i="37"/>
  <c r="AF34" i="37"/>
  <c r="AC42" i="37"/>
  <c r="AD42" i="37"/>
  <c r="AE42" i="37"/>
  <c r="AF42" i="37"/>
  <c r="AC43" i="37"/>
  <c r="J44" i="37"/>
  <c r="K44" i="37"/>
  <c r="J45" i="37" s="1"/>
  <c r="AC49" i="37"/>
  <c r="J55" i="37"/>
  <c r="K55" i="37"/>
  <c r="J56" i="37" s="1"/>
  <c r="AC57" i="37"/>
  <c r="J66" i="37"/>
  <c r="K66" i="37"/>
  <c r="J67" i="37" s="1"/>
  <c r="J77" i="37"/>
  <c r="K77" i="37"/>
  <c r="J78" i="37"/>
  <c r="J88" i="37"/>
  <c r="K88" i="37"/>
  <c r="J89" i="37" s="1"/>
  <c r="J99" i="37"/>
  <c r="K99" i="37"/>
  <c r="J100" i="37"/>
  <c r="J8" i="37" l="1"/>
  <c r="J5" i="37"/>
  <c r="AC25" i="37"/>
  <c r="J2" i="37"/>
  <c r="J89" i="38"/>
  <c r="J56" i="38"/>
  <c r="AC35" i="38"/>
  <c r="J4" i="38"/>
  <c r="J6" i="38"/>
  <c r="J3" i="38"/>
  <c r="J67" i="39"/>
  <c r="J45" i="39"/>
  <c r="J8" i="39"/>
  <c r="J7" i="39"/>
  <c r="J5" i="39"/>
  <c r="AC25" i="39"/>
  <c r="J2" i="39"/>
  <c r="J10" i="39" s="1"/>
  <c r="J89" i="40"/>
  <c r="J56" i="40"/>
  <c r="AC35" i="40"/>
  <c r="J6" i="40"/>
  <c r="J3" i="40"/>
  <c r="AC35" i="37"/>
  <c r="J4" i="37"/>
  <c r="J3" i="37"/>
  <c r="AC25" i="38"/>
  <c r="J2" i="38"/>
  <c r="AC35" i="39"/>
  <c r="J3" i="39"/>
  <c r="AC25" i="40"/>
  <c r="J2" i="40"/>
  <c r="J10" i="40" s="1"/>
  <c r="J7" i="40"/>
  <c r="J10" i="38"/>
  <c r="J7" i="38"/>
  <c r="J7" i="37"/>
  <c r="J10" i="37" s="1"/>
  <c r="S5" i="36"/>
  <c r="J9" i="36"/>
  <c r="J22" i="36"/>
  <c r="K22" i="36"/>
  <c r="J23" i="36" s="1"/>
  <c r="AC24" i="36"/>
  <c r="AD24" i="36"/>
  <c r="AC25" i="36" s="1"/>
  <c r="AE24" i="36"/>
  <c r="AF24" i="36"/>
  <c r="J33" i="36"/>
  <c r="K33" i="36"/>
  <c r="AC34" i="36"/>
  <c r="J7" i="36" s="1"/>
  <c r="AD34" i="36"/>
  <c r="AE34" i="36"/>
  <c r="AF34" i="36"/>
  <c r="AC35" i="36"/>
  <c r="AC42" i="36"/>
  <c r="AD42" i="36"/>
  <c r="AC43" i="36" s="1"/>
  <c r="AE42" i="36"/>
  <c r="AF42" i="36"/>
  <c r="J5" i="36" s="1"/>
  <c r="J44" i="36"/>
  <c r="K44" i="36"/>
  <c r="J45" i="36" s="1"/>
  <c r="AC49" i="36"/>
  <c r="J55" i="36"/>
  <c r="K55" i="36"/>
  <c r="J56" i="36" s="1"/>
  <c r="AC57" i="36"/>
  <c r="J66" i="36"/>
  <c r="K66" i="36"/>
  <c r="J67" i="36" s="1"/>
  <c r="J77" i="36"/>
  <c r="K77" i="36"/>
  <c r="J88" i="36"/>
  <c r="K88" i="36"/>
  <c r="J89" i="36"/>
  <c r="J99" i="36"/>
  <c r="K99" i="36"/>
  <c r="J100" i="36" s="1"/>
  <c r="J78" i="36" l="1"/>
  <c r="J34" i="36"/>
  <c r="J4" i="36"/>
  <c r="J6" i="36"/>
  <c r="J2" i="36"/>
  <c r="J8" i="36"/>
  <c r="J3" i="36"/>
  <c r="J10" i="36" s="1"/>
  <c r="S5" i="35"/>
  <c r="J9" i="35"/>
  <c r="J22" i="35"/>
  <c r="K22" i="35"/>
  <c r="J23" i="35" s="1"/>
  <c r="AC24" i="35"/>
  <c r="AD24" i="35"/>
  <c r="AC25" i="35" s="1"/>
  <c r="AE24" i="35"/>
  <c r="AF24" i="35"/>
  <c r="J33" i="35"/>
  <c r="K33" i="35"/>
  <c r="AC34" i="35"/>
  <c r="J7" i="35" s="1"/>
  <c r="AD34" i="35"/>
  <c r="AE34" i="35"/>
  <c r="AF34" i="35"/>
  <c r="AC35" i="35"/>
  <c r="AC42" i="35"/>
  <c r="AD42" i="35"/>
  <c r="AE42" i="35"/>
  <c r="AF42" i="35"/>
  <c r="J5" i="35" s="1"/>
  <c r="J44" i="35"/>
  <c r="K44" i="35"/>
  <c r="J45" i="35" s="1"/>
  <c r="AC49" i="35"/>
  <c r="J55" i="35"/>
  <c r="K55" i="35"/>
  <c r="J56" i="35" s="1"/>
  <c r="AC57" i="35"/>
  <c r="J66" i="35"/>
  <c r="K66" i="35"/>
  <c r="J67" i="35" s="1"/>
  <c r="J77" i="35"/>
  <c r="K77" i="35"/>
  <c r="J88" i="35"/>
  <c r="K88" i="35"/>
  <c r="J89" i="35"/>
  <c r="J99" i="35"/>
  <c r="K99" i="35"/>
  <c r="J100" i="35" s="1"/>
  <c r="J78" i="35" l="1"/>
  <c r="J34" i="35"/>
  <c r="J4" i="35"/>
  <c r="J6" i="35"/>
  <c r="J2" i="35"/>
  <c r="AC43" i="35"/>
  <c r="J8" i="35"/>
  <c r="J3" i="35"/>
  <c r="J10" i="35" s="1"/>
  <c r="S5" i="34" l="1"/>
  <c r="J9" i="34"/>
  <c r="J22" i="34"/>
  <c r="K22" i="34"/>
  <c r="J23" i="34" s="1"/>
  <c r="AC24" i="34"/>
  <c r="J6" i="34" s="1"/>
  <c r="AD24" i="34"/>
  <c r="AE24" i="34"/>
  <c r="AF24" i="34"/>
  <c r="AC25" i="34"/>
  <c r="J33" i="34"/>
  <c r="K33" i="34"/>
  <c r="J34" i="34" s="1"/>
  <c r="AC34" i="34"/>
  <c r="AD34" i="34"/>
  <c r="AE34" i="34"/>
  <c r="AF34" i="34"/>
  <c r="AC35" i="34"/>
  <c r="AC42" i="34"/>
  <c r="AD42" i="34"/>
  <c r="AE42" i="34"/>
  <c r="AF42" i="34"/>
  <c r="J5" i="34" s="1"/>
  <c r="J44" i="34"/>
  <c r="K44" i="34"/>
  <c r="J45" i="34" s="1"/>
  <c r="AC49" i="34"/>
  <c r="J55" i="34"/>
  <c r="K55" i="34"/>
  <c r="J56" i="34" s="1"/>
  <c r="AC57" i="34"/>
  <c r="J66" i="34"/>
  <c r="K66" i="34"/>
  <c r="J67" i="34" s="1"/>
  <c r="J77" i="34"/>
  <c r="K77" i="34"/>
  <c r="J88" i="34"/>
  <c r="K88" i="34"/>
  <c r="J89" i="34"/>
  <c r="J99" i="34"/>
  <c r="K99" i="34"/>
  <c r="J100" i="34" s="1"/>
  <c r="AC43" i="34" l="1"/>
  <c r="J7" i="34"/>
  <c r="J78" i="34"/>
  <c r="J4" i="34"/>
  <c r="J2" i="34"/>
  <c r="J8" i="34"/>
  <c r="J3" i="34"/>
  <c r="J10" i="34" s="1"/>
  <c r="S5" i="33"/>
  <c r="J9" i="33"/>
  <c r="J22" i="33"/>
  <c r="K22" i="33"/>
  <c r="AC24" i="33"/>
  <c r="J6" i="33" s="1"/>
  <c r="AD24" i="33"/>
  <c r="AE24" i="33"/>
  <c r="AF24" i="33"/>
  <c r="AC25" i="33"/>
  <c r="J33" i="33"/>
  <c r="K33" i="33"/>
  <c r="J34" i="33" s="1"/>
  <c r="AC34" i="33"/>
  <c r="AD34" i="33"/>
  <c r="AC35" i="33" s="1"/>
  <c r="AE34" i="33"/>
  <c r="AF34" i="33"/>
  <c r="AC42" i="33"/>
  <c r="AD42" i="33"/>
  <c r="AE42" i="33"/>
  <c r="AF42" i="33"/>
  <c r="J5" i="33" s="1"/>
  <c r="J44" i="33"/>
  <c r="K44" i="33"/>
  <c r="J45" i="33"/>
  <c r="AC49" i="33"/>
  <c r="J55" i="33"/>
  <c r="K55" i="33"/>
  <c r="J56" i="33"/>
  <c r="AC57" i="33"/>
  <c r="J66" i="33"/>
  <c r="K66" i="33"/>
  <c r="J67" i="33"/>
  <c r="J77" i="33"/>
  <c r="K77" i="33"/>
  <c r="J78" i="33" s="1"/>
  <c r="J88" i="33"/>
  <c r="K88" i="33"/>
  <c r="J89" i="33"/>
  <c r="J99" i="33"/>
  <c r="K99" i="33"/>
  <c r="J100" i="33" s="1"/>
  <c r="S5" i="32"/>
  <c r="J9" i="32"/>
  <c r="J22" i="32"/>
  <c r="K22" i="32"/>
  <c r="AC24" i="32"/>
  <c r="J6" i="32" s="1"/>
  <c r="AD24" i="32"/>
  <c r="AE24" i="32"/>
  <c r="AF24" i="32"/>
  <c r="AC25" i="32"/>
  <c r="J33" i="32"/>
  <c r="K33" i="32"/>
  <c r="J34" i="32" s="1"/>
  <c r="AC34" i="32"/>
  <c r="AD34" i="32"/>
  <c r="AC35" i="32" s="1"/>
  <c r="AE34" i="32"/>
  <c r="AF34" i="32"/>
  <c r="AC42" i="32"/>
  <c r="AD42" i="32"/>
  <c r="AE42" i="32"/>
  <c r="AF42" i="32"/>
  <c r="J5" i="32" s="1"/>
  <c r="J44" i="32"/>
  <c r="K44" i="32"/>
  <c r="J45" i="32" s="1"/>
  <c r="AC49" i="32"/>
  <c r="J55" i="32"/>
  <c r="K55" i="32"/>
  <c r="J56" i="32"/>
  <c r="AC57" i="32"/>
  <c r="J66" i="32"/>
  <c r="K66" i="32"/>
  <c r="J67" i="32"/>
  <c r="J77" i="32"/>
  <c r="K77" i="32"/>
  <c r="J78" i="32" s="1"/>
  <c r="J88" i="32"/>
  <c r="K88" i="32"/>
  <c r="J89" i="32" s="1"/>
  <c r="J99" i="32"/>
  <c r="K99" i="32"/>
  <c r="J100" i="32" s="1"/>
  <c r="J4" i="32" l="1"/>
  <c r="J2" i="32"/>
  <c r="J4" i="33"/>
  <c r="J2" i="33"/>
  <c r="AC43" i="32"/>
  <c r="J7" i="32"/>
  <c r="J23" i="32"/>
  <c r="AC43" i="33"/>
  <c r="J7" i="33"/>
  <c r="J23" i="33"/>
  <c r="J8" i="33"/>
  <c r="J3" i="33"/>
  <c r="J10" i="33" s="1"/>
  <c r="J8" i="32"/>
  <c r="J3" i="32"/>
  <c r="J10" i="32" s="1"/>
  <c r="S5" i="31" l="1"/>
  <c r="J9" i="31"/>
  <c r="J22" i="31"/>
  <c r="K22" i="31"/>
  <c r="AC24" i="31"/>
  <c r="J6" i="31" s="1"/>
  <c r="AD24" i="31"/>
  <c r="AE24" i="31"/>
  <c r="AF24" i="31"/>
  <c r="AC25" i="31"/>
  <c r="J33" i="31"/>
  <c r="K33" i="31"/>
  <c r="J34" i="31" s="1"/>
  <c r="AC34" i="31"/>
  <c r="AD34" i="31"/>
  <c r="AC35" i="31" s="1"/>
  <c r="AE34" i="31"/>
  <c r="AF34" i="31"/>
  <c r="AC42" i="31"/>
  <c r="AD42" i="31"/>
  <c r="AE42" i="31"/>
  <c r="AF42" i="31"/>
  <c r="J44" i="31"/>
  <c r="K44" i="31"/>
  <c r="J45" i="31"/>
  <c r="AC49" i="31"/>
  <c r="J55" i="31"/>
  <c r="K55" i="31"/>
  <c r="J56" i="31"/>
  <c r="AC57" i="31"/>
  <c r="J66" i="31"/>
  <c r="K66" i="31"/>
  <c r="J67" i="31"/>
  <c r="J77" i="31"/>
  <c r="K77" i="31"/>
  <c r="J78" i="31" s="1"/>
  <c r="J88" i="31"/>
  <c r="K88" i="31"/>
  <c r="J89" i="31"/>
  <c r="J99" i="31"/>
  <c r="K99" i="31"/>
  <c r="J100" i="31" s="1"/>
  <c r="J5" i="31" l="1"/>
  <c r="AC43" i="31"/>
  <c r="J7" i="31"/>
  <c r="J23" i="31"/>
  <c r="J4" i="31"/>
  <c r="J2" i="31"/>
  <c r="J8" i="31"/>
  <c r="J3" i="31"/>
  <c r="J10" i="31" s="1"/>
  <c r="S5" i="30" l="1"/>
  <c r="J9" i="30"/>
  <c r="J22" i="30"/>
  <c r="K22" i="30"/>
  <c r="AC24" i="30"/>
  <c r="J6" i="30" s="1"/>
  <c r="AD24" i="30"/>
  <c r="AE24" i="30"/>
  <c r="AF24" i="30"/>
  <c r="AC25" i="30"/>
  <c r="J33" i="30"/>
  <c r="K33" i="30"/>
  <c r="J34" i="30" s="1"/>
  <c r="AC34" i="30"/>
  <c r="AD34" i="30"/>
  <c r="AE34" i="30"/>
  <c r="AF34" i="30"/>
  <c r="AC42" i="30"/>
  <c r="AD42" i="30"/>
  <c r="AE42" i="30"/>
  <c r="AF42" i="30"/>
  <c r="J44" i="30"/>
  <c r="K44" i="30"/>
  <c r="J45" i="30" s="1"/>
  <c r="AC49" i="30"/>
  <c r="J55" i="30"/>
  <c r="K55" i="30"/>
  <c r="AC57" i="30"/>
  <c r="J66" i="30"/>
  <c r="K66" i="30"/>
  <c r="J67" i="30"/>
  <c r="J77" i="30"/>
  <c r="K77" i="30"/>
  <c r="J78" i="30" s="1"/>
  <c r="J88" i="30"/>
  <c r="K88" i="30"/>
  <c r="J99" i="30"/>
  <c r="K99" i="30"/>
  <c r="J100" i="30"/>
  <c r="J56" i="30" l="1"/>
  <c r="J8" i="30"/>
  <c r="AC35" i="30"/>
  <c r="J89" i="30"/>
  <c r="AC43" i="30"/>
  <c r="J7" i="30"/>
  <c r="J5" i="30"/>
  <c r="J3" i="30"/>
  <c r="J4" i="30"/>
  <c r="J2" i="30"/>
  <c r="J10" i="30" s="1"/>
  <c r="J23" i="30"/>
  <c r="S5" i="29" l="1"/>
  <c r="J9" i="29"/>
  <c r="J22" i="29"/>
  <c r="K22" i="29"/>
  <c r="J23" i="29"/>
  <c r="AC24" i="29"/>
  <c r="AD24" i="29"/>
  <c r="AE24" i="29"/>
  <c r="AF24" i="29"/>
  <c r="J33" i="29"/>
  <c r="K33" i="29"/>
  <c r="J34" i="29" s="1"/>
  <c r="AC34" i="29"/>
  <c r="AD34" i="29"/>
  <c r="AE34" i="29"/>
  <c r="AF34" i="29"/>
  <c r="AC42" i="29"/>
  <c r="AD42" i="29"/>
  <c r="AE42" i="29"/>
  <c r="AF42" i="29"/>
  <c r="AC43" i="29" s="1"/>
  <c r="J44" i="29"/>
  <c r="K44" i="29"/>
  <c r="J45" i="29" s="1"/>
  <c r="AC49" i="29"/>
  <c r="J55" i="29"/>
  <c r="K55" i="29"/>
  <c r="AC57" i="29"/>
  <c r="J66" i="29"/>
  <c r="K66" i="29"/>
  <c r="J67" i="29" s="1"/>
  <c r="J77" i="29"/>
  <c r="K77" i="29"/>
  <c r="J78" i="29" s="1"/>
  <c r="J88" i="29"/>
  <c r="K88" i="29"/>
  <c r="J99" i="29"/>
  <c r="K99" i="29"/>
  <c r="J100" i="29"/>
  <c r="S5" i="28"/>
  <c r="J9" i="28"/>
  <c r="J22" i="28"/>
  <c r="K22" i="28"/>
  <c r="AC24" i="28"/>
  <c r="J6" i="28" s="1"/>
  <c r="AD24" i="28"/>
  <c r="AE24" i="28"/>
  <c r="AF24" i="28"/>
  <c r="J33" i="28"/>
  <c r="K33" i="28"/>
  <c r="J34" i="28"/>
  <c r="AC34" i="28"/>
  <c r="AD34" i="28"/>
  <c r="AE34" i="28"/>
  <c r="AF34" i="28"/>
  <c r="AC42" i="28"/>
  <c r="AD42" i="28"/>
  <c r="AE42" i="28"/>
  <c r="AF42" i="28"/>
  <c r="J44" i="28"/>
  <c r="K44" i="28"/>
  <c r="AC49" i="28"/>
  <c r="J55" i="28"/>
  <c r="K55" i="28"/>
  <c r="AC57" i="28"/>
  <c r="J66" i="28"/>
  <c r="K66" i="28"/>
  <c r="J77" i="28"/>
  <c r="K77" i="28"/>
  <c r="J78" i="28" s="1"/>
  <c r="J88" i="28"/>
  <c r="K88" i="28"/>
  <c r="J89" i="28" s="1"/>
  <c r="J99" i="28"/>
  <c r="K99" i="28"/>
  <c r="J100" i="28" s="1"/>
  <c r="S5" i="27"/>
  <c r="J9" i="27"/>
  <c r="J22" i="27"/>
  <c r="K22" i="27"/>
  <c r="J23" i="27"/>
  <c r="AC24" i="27"/>
  <c r="AD24" i="27"/>
  <c r="AE24" i="27"/>
  <c r="AF24" i="27"/>
  <c r="J33" i="27"/>
  <c r="K33" i="27"/>
  <c r="J34" i="27" s="1"/>
  <c r="AC34" i="27"/>
  <c r="AD34" i="27"/>
  <c r="AE34" i="27"/>
  <c r="AF34" i="27"/>
  <c r="AC42" i="27"/>
  <c r="AD42" i="27"/>
  <c r="AE42" i="27"/>
  <c r="AF42" i="27"/>
  <c r="AC43" i="27"/>
  <c r="J44" i="27"/>
  <c r="K44" i="27"/>
  <c r="J45" i="27" s="1"/>
  <c r="AC49" i="27"/>
  <c r="J55" i="27"/>
  <c r="K55" i="27"/>
  <c r="AC57" i="27"/>
  <c r="J66" i="27"/>
  <c r="K66" i="27"/>
  <c r="J67" i="27" s="1"/>
  <c r="J77" i="27"/>
  <c r="K77" i="27"/>
  <c r="J78" i="27" s="1"/>
  <c r="J88" i="27"/>
  <c r="K88" i="27"/>
  <c r="J99" i="27"/>
  <c r="K99" i="27"/>
  <c r="J100" i="27"/>
  <c r="S5" i="26"/>
  <c r="J9" i="26"/>
  <c r="J22" i="26"/>
  <c r="K22" i="26"/>
  <c r="AC24" i="26"/>
  <c r="J6" i="26" s="1"/>
  <c r="AD24" i="26"/>
  <c r="AE24" i="26"/>
  <c r="AF24" i="26"/>
  <c r="J33" i="26"/>
  <c r="K33" i="26"/>
  <c r="J34" i="26"/>
  <c r="AC34" i="26"/>
  <c r="AD34" i="26"/>
  <c r="AE34" i="26"/>
  <c r="AF34" i="26"/>
  <c r="AC42" i="26"/>
  <c r="AD42" i="26"/>
  <c r="AE42" i="26"/>
  <c r="J4" i="26" s="1"/>
  <c r="AF42" i="26"/>
  <c r="AC43" i="26"/>
  <c r="J44" i="26"/>
  <c r="K44" i="26"/>
  <c r="J45" i="26" s="1"/>
  <c r="AC49" i="26"/>
  <c r="J55" i="26"/>
  <c r="K55" i="26"/>
  <c r="AC57" i="26"/>
  <c r="J66" i="26"/>
  <c r="K66" i="26"/>
  <c r="J67" i="26" s="1"/>
  <c r="J77" i="26"/>
  <c r="K77" i="26"/>
  <c r="J78" i="26" s="1"/>
  <c r="J88" i="26"/>
  <c r="K88" i="26"/>
  <c r="J99" i="26"/>
  <c r="K99" i="26"/>
  <c r="J100" i="26" s="1"/>
  <c r="J8" i="26" l="1"/>
  <c r="J23" i="26"/>
  <c r="J5" i="27"/>
  <c r="AC43" i="28"/>
  <c r="J8" i="29"/>
  <c r="J7" i="29"/>
  <c r="J8" i="27"/>
  <c r="J7" i="27"/>
  <c r="J56" i="28"/>
  <c r="J23" i="28"/>
  <c r="J5" i="29"/>
  <c r="J5" i="26"/>
  <c r="AC25" i="26"/>
  <c r="J2" i="26"/>
  <c r="J89" i="27"/>
  <c r="J56" i="27"/>
  <c r="AC35" i="27"/>
  <c r="J4" i="27"/>
  <c r="J6" i="27"/>
  <c r="J3" i="27"/>
  <c r="J67" i="28"/>
  <c r="J45" i="28"/>
  <c r="J4" i="28"/>
  <c r="J8" i="28"/>
  <c r="J5" i="28"/>
  <c r="AC25" i="28"/>
  <c r="J2" i="28"/>
  <c r="J89" i="29"/>
  <c r="J56" i="29"/>
  <c r="AC35" i="29"/>
  <c r="J4" i="29"/>
  <c r="J6" i="29"/>
  <c r="J3" i="29"/>
  <c r="J89" i="26"/>
  <c r="J56" i="26"/>
  <c r="AC35" i="26"/>
  <c r="J3" i="26"/>
  <c r="AC25" i="27"/>
  <c r="J2" i="27"/>
  <c r="AC35" i="28"/>
  <c r="J3" i="28"/>
  <c r="AC25" i="29"/>
  <c r="J2" i="29"/>
  <c r="J10" i="29" s="1"/>
  <c r="J7" i="28"/>
  <c r="J10" i="27"/>
  <c r="J7" i="26"/>
  <c r="J10" i="26" s="1"/>
  <c r="J10" i="28" l="1"/>
  <c r="U55" i="23"/>
  <c r="T55" i="23"/>
  <c r="R55" i="23"/>
  <c r="Q55" i="23"/>
  <c r="U48" i="23"/>
  <c r="T48" i="23"/>
  <c r="R48" i="23"/>
  <c r="Q48" i="23"/>
  <c r="U41" i="23"/>
  <c r="T41" i="23"/>
  <c r="R41" i="23"/>
  <c r="Q41" i="23"/>
  <c r="U40" i="23"/>
  <c r="T40" i="23"/>
  <c r="R40" i="23"/>
  <c r="Q40" i="23"/>
  <c r="U33" i="23"/>
  <c r="T33" i="23"/>
  <c r="R33" i="23"/>
  <c r="Q33" i="23"/>
  <c r="U32" i="23"/>
  <c r="T32" i="23"/>
  <c r="R32" i="23"/>
  <c r="Q32" i="23"/>
  <c r="U31" i="23"/>
  <c r="T31" i="23"/>
  <c r="R31" i="23"/>
  <c r="Q31" i="23"/>
  <c r="U30" i="23"/>
  <c r="T30" i="23"/>
  <c r="R30" i="23"/>
  <c r="Q30" i="23"/>
  <c r="U23" i="23"/>
  <c r="T23" i="23"/>
  <c r="R23" i="23"/>
  <c r="Q23" i="23"/>
  <c r="U22" i="23"/>
  <c r="T22" i="23"/>
  <c r="R22" i="23"/>
  <c r="Q22" i="23"/>
  <c r="U21" i="23"/>
  <c r="T21" i="23"/>
  <c r="R21" i="23"/>
  <c r="Q21" i="23"/>
  <c r="U20" i="23"/>
  <c r="T20" i="23"/>
  <c r="R20" i="23"/>
  <c r="Q20" i="23"/>
  <c r="U19" i="23"/>
  <c r="T19" i="23"/>
  <c r="R19" i="23"/>
  <c r="Q19" i="23"/>
  <c r="U18" i="23"/>
  <c r="T18" i="23"/>
  <c r="R18" i="23"/>
  <c r="Q18" i="23"/>
  <c r="U17" i="23"/>
  <c r="T17" i="23"/>
  <c r="R17" i="23"/>
  <c r="Q17" i="23"/>
  <c r="U16" i="23"/>
  <c r="T16" i="23"/>
  <c r="R16" i="23"/>
  <c r="Q16" i="23"/>
  <c r="Q17" i="21"/>
  <c r="U55" i="21"/>
  <c r="T55" i="21"/>
  <c r="R55" i="21"/>
  <c r="Q55" i="21"/>
  <c r="U48" i="21"/>
  <c r="T48" i="21"/>
  <c r="R48" i="21"/>
  <c r="Q48" i="21"/>
  <c r="U41" i="21"/>
  <c r="T41" i="21"/>
  <c r="R41" i="21"/>
  <c r="Q41" i="21"/>
  <c r="U40" i="21"/>
  <c r="T40" i="21"/>
  <c r="R40" i="21"/>
  <c r="Q40" i="21"/>
  <c r="Q31" i="21"/>
  <c r="R31" i="21"/>
  <c r="T31" i="21"/>
  <c r="U31" i="21"/>
  <c r="Q32" i="21"/>
  <c r="R32" i="21"/>
  <c r="T32" i="21"/>
  <c r="U32" i="21"/>
  <c r="Q33" i="21"/>
  <c r="R33" i="21"/>
  <c r="T33" i="21"/>
  <c r="U33" i="21"/>
  <c r="U30" i="21"/>
  <c r="T30" i="21"/>
  <c r="R30" i="21"/>
  <c r="Q30" i="21"/>
  <c r="T17" i="21"/>
  <c r="T18" i="21"/>
  <c r="T19" i="21"/>
  <c r="T20" i="21"/>
  <c r="T21" i="21"/>
  <c r="T22" i="21"/>
  <c r="T23" i="21"/>
  <c r="R17" i="21"/>
  <c r="R18" i="21"/>
  <c r="R19" i="21"/>
  <c r="R20" i="21"/>
  <c r="R21" i="21"/>
  <c r="R22" i="21"/>
  <c r="R23" i="21"/>
  <c r="T16" i="21"/>
  <c r="R16" i="21"/>
  <c r="U23" i="21"/>
  <c r="U22" i="21"/>
  <c r="U21" i="21"/>
  <c r="U20" i="21"/>
  <c r="U19" i="21"/>
  <c r="U18" i="21"/>
  <c r="U17" i="21"/>
  <c r="U16" i="21"/>
  <c r="Q18" i="21"/>
  <c r="Q19" i="21"/>
  <c r="Q20" i="21"/>
  <c r="Q21" i="21"/>
  <c r="Q22" i="21"/>
  <c r="Q23" i="21"/>
  <c r="Q16" i="21"/>
  <c r="AC56" i="23"/>
  <c r="AH55" i="23"/>
  <c r="AG55" i="23"/>
  <c r="AH48" i="23"/>
  <c r="AG48" i="23"/>
  <c r="AH41" i="23"/>
  <c r="AG41" i="23"/>
  <c r="AH40" i="23"/>
  <c r="AG40" i="23"/>
  <c r="AH33" i="23"/>
  <c r="AG33" i="23"/>
  <c r="AH32" i="23"/>
  <c r="AG32" i="23"/>
  <c r="AH31" i="23"/>
  <c r="AG31" i="23"/>
  <c r="AH30" i="23"/>
  <c r="AG30" i="23"/>
  <c r="AH23" i="23"/>
  <c r="AG23" i="23"/>
  <c r="AH22" i="23"/>
  <c r="AG22" i="23"/>
  <c r="AH21" i="23"/>
  <c r="AG21" i="23"/>
  <c r="AH20" i="23"/>
  <c r="AG20" i="23"/>
  <c r="AH19" i="23"/>
  <c r="AG19" i="23"/>
  <c r="AH18" i="23"/>
  <c r="AG18" i="23"/>
  <c r="AH17" i="23"/>
  <c r="AG17" i="23"/>
  <c r="AH16" i="23"/>
  <c r="AG16" i="23"/>
  <c r="E63" i="25"/>
  <c r="A63" i="25"/>
  <c r="H62" i="25"/>
  <c r="E62" i="25"/>
  <c r="A62" i="25"/>
  <c r="H61" i="25"/>
  <c r="E61" i="25"/>
  <c r="A61" i="25"/>
  <c r="H60" i="25"/>
  <c r="E60" i="25"/>
  <c r="A60" i="25"/>
  <c r="H59" i="25"/>
  <c r="E59" i="25"/>
  <c r="G62" i="25" s="1"/>
  <c r="A59" i="25"/>
  <c r="E58" i="25"/>
  <c r="A58" i="25"/>
  <c r="E55" i="25"/>
  <c r="A55" i="25"/>
  <c r="H54" i="25"/>
  <c r="E54" i="25"/>
  <c r="A54" i="25"/>
  <c r="H53" i="25"/>
  <c r="E53" i="25"/>
  <c r="A53" i="25"/>
  <c r="H52" i="25"/>
  <c r="E52" i="25"/>
  <c r="A52" i="25"/>
  <c r="H51" i="25"/>
  <c r="E51" i="25"/>
  <c r="A51" i="25"/>
  <c r="E50" i="25"/>
  <c r="A50" i="25"/>
  <c r="E47" i="25"/>
  <c r="A47" i="25"/>
  <c r="H46" i="25"/>
  <c r="E46" i="25"/>
  <c r="A46" i="25"/>
  <c r="H45" i="25"/>
  <c r="E45" i="25"/>
  <c r="A45" i="25"/>
  <c r="H44" i="25"/>
  <c r="E44" i="25"/>
  <c r="A44" i="25"/>
  <c r="H43" i="25"/>
  <c r="E43" i="25"/>
  <c r="G46" i="25" s="1"/>
  <c r="A43" i="25"/>
  <c r="E42" i="25"/>
  <c r="A42" i="25"/>
  <c r="E39" i="25"/>
  <c r="A39" i="25"/>
  <c r="H38" i="25"/>
  <c r="E38" i="25"/>
  <c r="A38" i="25"/>
  <c r="H37" i="25"/>
  <c r="E37" i="25"/>
  <c r="A37" i="25"/>
  <c r="H36" i="25"/>
  <c r="E36" i="25"/>
  <c r="A36" i="25"/>
  <c r="H35" i="25"/>
  <c r="E35" i="25"/>
  <c r="A35" i="25"/>
  <c r="E34" i="25"/>
  <c r="A34" i="25"/>
  <c r="E31" i="25"/>
  <c r="A31" i="25"/>
  <c r="H30" i="25"/>
  <c r="E30" i="25"/>
  <c r="A30" i="25"/>
  <c r="H29" i="25"/>
  <c r="E29" i="25"/>
  <c r="A29" i="25"/>
  <c r="H28" i="25"/>
  <c r="E28" i="25"/>
  <c r="A28" i="25"/>
  <c r="H27" i="25"/>
  <c r="E27" i="25"/>
  <c r="G30" i="25" s="1"/>
  <c r="A27" i="25"/>
  <c r="E26" i="25"/>
  <c r="A26" i="25"/>
  <c r="E23" i="25"/>
  <c r="A23" i="25"/>
  <c r="H22" i="25"/>
  <c r="E22" i="25"/>
  <c r="A22" i="25"/>
  <c r="H21" i="25"/>
  <c r="E21" i="25"/>
  <c r="A21" i="25"/>
  <c r="H20" i="25"/>
  <c r="E20" i="25"/>
  <c r="A20" i="25"/>
  <c r="AG19" i="25"/>
  <c r="AF19" i="25"/>
  <c r="AE19" i="25"/>
  <c r="AD19" i="25"/>
  <c r="AC19" i="25"/>
  <c r="AB19" i="25"/>
  <c r="Z19" i="25"/>
  <c r="Y19" i="25"/>
  <c r="X19" i="25"/>
  <c r="W19" i="25"/>
  <c r="AI19" i="25" s="1"/>
  <c r="H19" i="25"/>
  <c r="E19" i="25"/>
  <c r="A19" i="25"/>
  <c r="AG18" i="25"/>
  <c r="AF18" i="25"/>
  <c r="AE18" i="25"/>
  <c r="AD18" i="25"/>
  <c r="AC18" i="25"/>
  <c r="AB18" i="25"/>
  <c r="Z18" i="25"/>
  <c r="Y18" i="25"/>
  <c r="X18" i="25"/>
  <c r="AH18" i="25" s="1"/>
  <c r="W18" i="25"/>
  <c r="E18" i="25"/>
  <c r="A18" i="25"/>
  <c r="AG17" i="25"/>
  <c r="AF17" i="25"/>
  <c r="AE17" i="25"/>
  <c r="AD17" i="25"/>
  <c r="AC17" i="25"/>
  <c r="AB17" i="25"/>
  <c r="Z17" i="25"/>
  <c r="AA19" i="25" s="1"/>
  <c r="Y17" i="25"/>
  <c r="X17" i="25"/>
  <c r="W17" i="25"/>
  <c r="AG16" i="25"/>
  <c r="AF16" i="25"/>
  <c r="AE16" i="25"/>
  <c r="AD16" i="25"/>
  <c r="AC16" i="25"/>
  <c r="AB16" i="25"/>
  <c r="Z16" i="25"/>
  <c r="Y16" i="25"/>
  <c r="X16" i="25"/>
  <c r="AH16" i="25" s="1"/>
  <c r="W16" i="25"/>
  <c r="AG15" i="25"/>
  <c r="AF15" i="25"/>
  <c r="AE15" i="25"/>
  <c r="AD15" i="25"/>
  <c r="AC15" i="25"/>
  <c r="AB15" i="25"/>
  <c r="Z15" i="25"/>
  <c r="Y15" i="25"/>
  <c r="X15" i="25"/>
  <c r="AH15" i="25" s="1"/>
  <c r="W15" i="25"/>
  <c r="E15" i="25"/>
  <c r="A15" i="25"/>
  <c r="AG14" i="25"/>
  <c r="AF14" i="25"/>
  <c r="AE14" i="25"/>
  <c r="AD14" i="25"/>
  <c r="AC14" i="25"/>
  <c r="AB14" i="25"/>
  <c r="Z14" i="25"/>
  <c r="Y14" i="25"/>
  <c r="X14" i="25"/>
  <c r="AH14" i="25" s="1"/>
  <c r="W14" i="25"/>
  <c r="H14" i="25"/>
  <c r="E14" i="25"/>
  <c r="A14" i="25"/>
  <c r="AG13" i="25"/>
  <c r="AF13" i="25"/>
  <c r="AE13" i="25"/>
  <c r="AD13" i="25"/>
  <c r="AC13" i="25"/>
  <c r="AB13" i="25"/>
  <c r="Z13" i="25"/>
  <c r="Y13" i="25"/>
  <c r="X13" i="25"/>
  <c r="W13" i="25"/>
  <c r="AH13" i="25" s="1"/>
  <c r="H13" i="25"/>
  <c r="E13" i="25"/>
  <c r="A13" i="25"/>
  <c r="AG12" i="25"/>
  <c r="AF12" i="25"/>
  <c r="AE12" i="25"/>
  <c r="AD12" i="25"/>
  <c r="AC12" i="25"/>
  <c r="AB12" i="25"/>
  <c r="Z12" i="25"/>
  <c r="Y12" i="25"/>
  <c r="X12" i="25"/>
  <c r="AI12" i="25" s="1"/>
  <c r="W12" i="25"/>
  <c r="H12" i="25"/>
  <c r="E12" i="25"/>
  <c r="A12" i="25"/>
  <c r="AG11" i="25"/>
  <c r="AF11" i="25"/>
  <c r="AE11" i="25"/>
  <c r="AD11" i="25"/>
  <c r="AC11" i="25"/>
  <c r="AB11" i="25"/>
  <c r="Z11" i="25"/>
  <c r="Y11" i="25"/>
  <c r="X11" i="25"/>
  <c r="W11" i="25"/>
  <c r="AH11" i="25" s="1"/>
  <c r="H11" i="25"/>
  <c r="E11" i="25"/>
  <c r="G14" i="25" s="1"/>
  <c r="A11" i="25"/>
  <c r="AG10" i="25"/>
  <c r="AF10" i="25"/>
  <c r="AE10" i="25"/>
  <c r="AD10" i="25"/>
  <c r="AC10" i="25"/>
  <c r="AB10" i="25"/>
  <c r="Z10" i="25"/>
  <c r="Y10" i="25"/>
  <c r="X10" i="25"/>
  <c r="W10" i="25"/>
  <c r="E10" i="25"/>
  <c r="G12" i="25" s="1"/>
  <c r="A10" i="25"/>
  <c r="AG9" i="25"/>
  <c r="AF9" i="25"/>
  <c r="AE9" i="25"/>
  <c r="AD9" i="25"/>
  <c r="AC9" i="25"/>
  <c r="AB9" i="25"/>
  <c r="Z9" i="25"/>
  <c r="Y9" i="25"/>
  <c r="X9" i="25"/>
  <c r="W9" i="25"/>
  <c r="AG8" i="25"/>
  <c r="AF8" i="25"/>
  <c r="AE8" i="25"/>
  <c r="AD8" i="25"/>
  <c r="AC8" i="25"/>
  <c r="AB8" i="25"/>
  <c r="Z8" i="25"/>
  <c r="V13" i="25" s="1"/>
  <c r="Y8" i="25"/>
  <c r="X8" i="25"/>
  <c r="W8" i="25"/>
  <c r="AG7" i="25"/>
  <c r="AF7" i="25"/>
  <c r="AE7" i="25"/>
  <c r="AD7" i="25"/>
  <c r="AC7" i="25"/>
  <c r="AB7" i="25"/>
  <c r="Z7" i="25"/>
  <c r="AA14" i="25" s="1"/>
  <c r="Y7" i="25"/>
  <c r="X7" i="25"/>
  <c r="W7" i="25"/>
  <c r="E7" i="25"/>
  <c r="A7" i="25"/>
  <c r="AG6" i="25"/>
  <c r="AF6" i="25"/>
  <c r="AE6" i="25"/>
  <c r="AD6" i="25"/>
  <c r="AC6" i="25"/>
  <c r="AB6" i="25"/>
  <c r="Z6" i="25"/>
  <c r="V14" i="25" s="1"/>
  <c r="Y6" i="25"/>
  <c r="X6" i="25"/>
  <c r="W6" i="25"/>
  <c r="H6" i="25"/>
  <c r="E6" i="25"/>
  <c r="A6" i="25"/>
  <c r="AG5" i="25"/>
  <c r="AF5" i="25"/>
  <c r="AE5" i="25"/>
  <c r="AD5" i="25"/>
  <c r="AC5" i="25"/>
  <c r="AB5" i="25"/>
  <c r="Z5" i="25"/>
  <c r="Y5" i="25"/>
  <c r="X5" i="25"/>
  <c r="W5" i="25"/>
  <c r="AA12" i="25" s="1"/>
  <c r="H5" i="25"/>
  <c r="E5" i="25"/>
  <c r="A5" i="25"/>
  <c r="AG4" i="25"/>
  <c r="AF4" i="25"/>
  <c r="AE4" i="25"/>
  <c r="AD4" i="25"/>
  <c r="AC4" i="25"/>
  <c r="AB4" i="25"/>
  <c r="Z4" i="25"/>
  <c r="Y4" i="25"/>
  <c r="X4" i="25"/>
  <c r="W4" i="25"/>
  <c r="H4" i="25"/>
  <c r="E4" i="25"/>
  <c r="A4" i="25"/>
  <c r="H3" i="25"/>
  <c r="E3" i="25"/>
  <c r="A3" i="25"/>
  <c r="E2" i="25"/>
  <c r="G4" i="25" s="1"/>
  <c r="A2" i="25"/>
  <c r="G61" i="25"/>
  <c r="G60" i="25"/>
  <c r="G59" i="25"/>
  <c r="G54" i="25"/>
  <c r="G53" i="25"/>
  <c r="G52" i="25"/>
  <c r="G51" i="25"/>
  <c r="G45" i="25"/>
  <c r="G44" i="25"/>
  <c r="G43" i="25"/>
  <c r="G38" i="25"/>
  <c r="G37" i="25"/>
  <c r="G36" i="25"/>
  <c r="G35" i="25"/>
  <c r="AX33" i="25"/>
  <c r="AX32" i="25"/>
  <c r="AX31" i="25"/>
  <c r="AX30" i="25"/>
  <c r="AX29" i="25"/>
  <c r="AX28" i="25"/>
  <c r="AX27" i="25"/>
  <c r="G29" i="25"/>
  <c r="AX26" i="25"/>
  <c r="G28" i="25"/>
  <c r="G27" i="25"/>
  <c r="AX25" i="25"/>
  <c r="AX24" i="25"/>
  <c r="AX23" i="25"/>
  <c r="AX22" i="25"/>
  <c r="AX21" i="25"/>
  <c r="AX20" i="25"/>
  <c r="AX19" i="25"/>
  <c r="G22" i="25"/>
  <c r="G21" i="25"/>
  <c r="AX18" i="25"/>
  <c r="G20" i="25"/>
  <c r="G19" i="25"/>
  <c r="AX17" i="25"/>
  <c r="AX16" i="25"/>
  <c r="AX15" i="25"/>
  <c r="AX14" i="25"/>
  <c r="AX13" i="25"/>
  <c r="AA16" i="25"/>
  <c r="AX12" i="25"/>
  <c r="AH12" i="25"/>
  <c r="AX11" i="25"/>
  <c r="AA15" i="25"/>
  <c r="G13" i="25"/>
  <c r="AX10" i="25"/>
  <c r="AH10" i="25"/>
  <c r="G11" i="25"/>
  <c r="AX9" i="25"/>
  <c r="AX8" i="25"/>
  <c r="AX7" i="25"/>
  <c r="AX6" i="25"/>
  <c r="AX5" i="25"/>
  <c r="AX4" i="25"/>
  <c r="AX3" i="25"/>
  <c r="G6" i="25"/>
  <c r="G5" i="25"/>
  <c r="AX2" i="25"/>
  <c r="G3" i="25"/>
  <c r="AR1" i="25"/>
  <c r="AW8" i="25" s="1"/>
  <c r="E98" i="23"/>
  <c r="D63" i="25" s="1"/>
  <c r="C98" i="23"/>
  <c r="B63" i="25" s="1"/>
  <c r="E97" i="23"/>
  <c r="D62" i="25" s="1"/>
  <c r="C97" i="23"/>
  <c r="B62" i="25" s="1"/>
  <c r="E96" i="23"/>
  <c r="D61" i="25" s="1"/>
  <c r="C96" i="23"/>
  <c r="B61" i="25" s="1"/>
  <c r="E95" i="23"/>
  <c r="D60" i="25" s="1"/>
  <c r="C95" i="23"/>
  <c r="B60" i="25" s="1"/>
  <c r="E94" i="23"/>
  <c r="D59" i="25" s="1"/>
  <c r="C94" i="23"/>
  <c r="B59" i="25" s="1"/>
  <c r="E93" i="23"/>
  <c r="D58" i="25" s="1"/>
  <c r="C93" i="23"/>
  <c r="B58" i="25" s="1"/>
  <c r="E87" i="23"/>
  <c r="D55" i="25" s="1"/>
  <c r="C87" i="23"/>
  <c r="B55" i="25" s="1"/>
  <c r="E86" i="23"/>
  <c r="D54" i="25" s="1"/>
  <c r="C86" i="23"/>
  <c r="B54" i="25" s="1"/>
  <c r="E85" i="23"/>
  <c r="D53" i="25" s="1"/>
  <c r="C85" i="23"/>
  <c r="B53" i="25" s="1"/>
  <c r="E84" i="23"/>
  <c r="D52" i="25" s="1"/>
  <c r="C84" i="23"/>
  <c r="B52" i="25" s="1"/>
  <c r="E83" i="23"/>
  <c r="D51" i="25" s="1"/>
  <c r="C83" i="23"/>
  <c r="B51" i="25" s="1"/>
  <c r="E82" i="23"/>
  <c r="D50" i="25" s="1"/>
  <c r="C82" i="23"/>
  <c r="B50" i="25" s="1"/>
  <c r="E76" i="23"/>
  <c r="D47" i="25" s="1"/>
  <c r="C76" i="23"/>
  <c r="B47" i="25" s="1"/>
  <c r="E75" i="23"/>
  <c r="D46" i="25" s="1"/>
  <c r="C75" i="23"/>
  <c r="B46" i="25" s="1"/>
  <c r="E74" i="23"/>
  <c r="D45" i="25" s="1"/>
  <c r="C74" i="23"/>
  <c r="B45" i="25" s="1"/>
  <c r="E73" i="23"/>
  <c r="D44" i="25" s="1"/>
  <c r="C73" i="23"/>
  <c r="B44" i="25" s="1"/>
  <c r="E72" i="23"/>
  <c r="D43" i="25" s="1"/>
  <c r="C72" i="23"/>
  <c r="B43" i="25" s="1"/>
  <c r="E71" i="23"/>
  <c r="D42" i="25" s="1"/>
  <c r="C71" i="23"/>
  <c r="B42" i="25" s="1"/>
  <c r="E65" i="23"/>
  <c r="D39" i="25" s="1"/>
  <c r="C65" i="23"/>
  <c r="B39" i="25" s="1"/>
  <c r="E64" i="23"/>
  <c r="D38" i="25" s="1"/>
  <c r="C64" i="23"/>
  <c r="B38" i="25" s="1"/>
  <c r="E63" i="23"/>
  <c r="D37" i="25" s="1"/>
  <c r="C63" i="23"/>
  <c r="B37" i="25" s="1"/>
  <c r="E62" i="23"/>
  <c r="D36" i="25" s="1"/>
  <c r="C62" i="23"/>
  <c r="B36" i="25" s="1"/>
  <c r="E61" i="23"/>
  <c r="D35" i="25" s="1"/>
  <c r="C61" i="23"/>
  <c r="B35" i="25" s="1"/>
  <c r="E60" i="23"/>
  <c r="D34" i="25" s="1"/>
  <c r="C60" i="23"/>
  <c r="B34" i="25" s="1"/>
  <c r="E54" i="23"/>
  <c r="D31" i="25" s="1"/>
  <c r="C54" i="23"/>
  <c r="B31" i="25" s="1"/>
  <c r="E53" i="23"/>
  <c r="D30" i="25" s="1"/>
  <c r="C53" i="23"/>
  <c r="B30" i="25" s="1"/>
  <c r="E52" i="23"/>
  <c r="D29" i="25" s="1"/>
  <c r="C52" i="23"/>
  <c r="B29" i="25" s="1"/>
  <c r="E51" i="23"/>
  <c r="D28" i="25" s="1"/>
  <c r="C51" i="23"/>
  <c r="B28" i="25" s="1"/>
  <c r="E50" i="23"/>
  <c r="D27" i="25" s="1"/>
  <c r="C50" i="23"/>
  <c r="B27" i="25" s="1"/>
  <c r="E49" i="23"/>
  <c r="D26" i="25" s="1"/>
  <c r="C49" i="23"/>
  <c r="B26" i="25" s="1"/>
  <c r="E43" i="23"/>
  <c r="D23" i="25" s="1"/>
  <c r="C43" i="23"/>
  <c r="B23" i="25" s="1"/>
  <c r="E42" i="23"/>
  <c r="D22" i="25" s="1"/>
  <c r="C42" i="23"/>
  <c r="B22" i="25" s="1"/>
  <c r="E41" i="23"/>
  <c r="D21" i="25" s="1"/>
  <c r="C41" i="23"/>
  <c r="B21" i="25" s="1"/>
  <c r="E40" i="23"/>
  <c r="D20" i="25" s="1"/>
  <c r="C40" i="23"/>
  <c r="B20" i="25" s="1"/>
  <c r="E39" i="23"/>
  <c r="D19" i="25" s="1"/>
  <c r="C39" i="23"/>
  <c r="B19" i="25" s="1"/>
  <c r="E38" i="23"/>
  <c r="D18" i="25" s="1"/>
  <c r="C38" i="23"/>
  <c r="B18" i="25" s="1"/>
  <c r="E32" i="23"/>
  <c r="D15" i="25" s="1"/>
  <c r="C32" i="23"/>
  <c r="B15" i="25" s="1"/>
  <c r="E31" i="23"/>
  <c r="D14" i="25" s="1"/>
  <c r="C31" i="23"/>
  <c r="B14" i="25" s="1"/>
  <c r="E30" i="23"/>
  <c r="D13" i="25" s="1"/>
  <c r="C30" i="23"/>
  <c r="B13" i="25" s="1"/>
  <c r="E29" i="23"/>
  <c r="D12" i="25" s="1"/>
  <c r="C29" i="23"/>
  <c r="B12" i="25" s="1"/>
  <c r="E28" i="23"/>
  <c r="D11" i="25" s="1"/>
  <c r="C28" i="23"/>
  <c r="B11" i="25" s="1"/>
  <c r="E27" i="23"/>
  <c r="D10" i="25" s="1"/>
  <c r="C27" i="23"/>
  <c r="B10" i="25" s="1"/>
  <c r="E21" i="23"/>
  <c r="D7" i="25" s="1"/>
  <c r="C21" i="23"/>
  <c r="B7" i="25" s="1"/>
  <c r="E20" i="23"/>
  <c r="D6" i="25" s="1"/>
  <c r="C20" i="23"/>
  <c r="B6" i="25" s="1"/>
  <c r="E19" i="23"/>
  <c r="D5" i="25" s="1"/>
  <c r="C19" i="23"/>
  <c r="B5" i="25" s="1"/>
  <c r="E18" i="23"/>
  <c r="D4" i="25" s="1"/>
  <c r="C18" i="23"/>
  <c r="B4" i="25" s="1"/>
  <c r="E17" i="23"/>
  <c r="D3" i="25" s="1"/>
  <c r="C17" i="23"/>
  <c r="B3" i="25" s="1"/>
  <c r="E16" i="23"/>
  <c r="D2" i="25" s="1"/>
  <c r="C16" i="23"/>
  <c r="B2" i="25" s="1"/>
  <c r="E98" i="21"/>
  <c r="C98" i="21"/>
  <c r="E97" i="21"/>
  <c r="C97" i="21"/>
  <c r="E96" i="21"/>
  <c r="C96" i="21"/>
  <c r="E95" i="21"/>
  <c r="C95" i="21"/>
  <c r="E94" i="21"/>
  <c r="C94" i="21"/>
  <c r="E93" i="21"/>
  <c r="C93" i="21"/>
  <c r="E87" i="21"/>
  <c r="C87" i="21"/>
  <c r="E86" i="21"/>
  <c r="C86" i="21"/>
  <c r="E85" i="21"/>
  <c r="C85" i="21"/>
  <c r="E84" i="21"/>
  <c r="C84" i="21"/>
  <c r="E83" i="21"/>
  <c r="C83" i="21"/>
  <c r="E82" i="21"/>
  <c r="C82" i="21"/>
  <c r="E76" i="21"/>
  <c r="C76" i="21"/>
  <c r="E75" i="21"/>
  <c r="C75" i="21"/>
  <c r="E74" i="21"/>
  <c r="C74" i="21"/>
  <c r="E73" i="21"/>
  <c r="C73" i="21"/>
  <c r="E72" i="21"/>
  <c r="C72" i="21"/>
  <c r="E71" i="21"/>
  <c r="C71" i="21"/>
  <c r="E65" i="21"/>
  <c r="C65" i="21"/>
  <c r="E64" i="21"/>
  <c r="C64" i="21"/>
  <c r="E63" i="21"/>
  <c r="C63" i="21"/>
  <c r="E62" i="21"/>
  <c r="C62" i="21"/>
  <c r="E61" i="21"/>
  <c r="C61" i="21"/>
  <c r="E60" i="21"/>
  <c r="C60" i="21"/>
  <c r="E54" i="21"/>
  <c r="C54" i="21"/>
  <c r="E53" i="21"/>
  <c r="C53" i="21"/>
  <c r="E52" i="21"/>
  <c r="C52" i="21"/>
  <c r="E51" i="21"/>
  <c r="C51" i="21"/>
  <c r="E50" i="21"/>
  <c r="C50" i="21"/>
  <c r="E49" i="21"/>
  <c r="C49" i="21"/>
  <c r="C21" i="21"/>
  <c r="C20" i="21"/>
  <c r="C19" i="21"/>
  <c r="C18" i="21"/>
  <c r="C17" i="21"/>
  <c r="C16" i="21"/>
  <c r="E21" i="21"/>
  <c r="E20" i="21"/>
  <c r="E19" i="21"/>
  <c r="E18" i="21"/>
  <c r="E17" i="21"/>
  <c r="E16" i="21"/>
  <c r="E43" i="21"/>
  <c r="E42" i="21"/>
  <c r="E41" i="21"/>
  <c r="E40" i="21"/>
  <c r="E39" i="21"/>
  <c r="E38" i="21"/>
  <c r="E28" i="21"/>
  <c r="E29" i="21"/>
  <c r="E30" i="21"/>
  <c r="E31" i="21"/>
  <c r="E32" i="21"/>
  <c r="E27" i="21"/>
  <c r="C32" i="21"/>
  <c r="C31" i="21"/>
  <c r="C30" i="21"/>
  <c r="C29" i="21"/>
  <c r="C28" i="21"/>
  <c r="C27" i="21"/>
  <c r="C39" i="21"/>
  <c r="C40" i="21"/>
  <c r="C41" i="21"/>
  <c r="C42" i="21"/>
  <c r="C43" i="21"/>
  <c r="C38" i="21"/>
  <c r="AF19" i="24"/>
  <c r="AF18" i="24"/>
  <c r="AF17" i="24"/>
  <c r="AF16" i="24"/>
  <c r="AC19" i="24"/>
  <c r="AC18" i="24"/>
  <c r="AC17" i="24"/>
  <c r="D63" i="24"/>
  <c r="B63" i="24"/>
  <c r="H62" i="24"/>
  <c r="D62" i="24"/>
  <c r="B62" i="24"/>
  <c r="H61" i="24"/>
  <c r="D61" i="24"/>
  <c r="B61" i="24"/>
  <c r="H60" i="24"/>
  <c r="D60" i="24"/>
  <c r="B60" i="24"/>
  <c r="H59" i="24"/>
  <c r="D59" i="24"/>
  <c r="B59" i="24"/>
  <c r="D58" i="24"/>
  <c r="B58" i="24"/>
  <c r="D55" i="24"/>
  <c r="B55" i="24"/>
  <c r="H54" i="24"/>
  <c r="D54" i="24"/>
  <c r="B54" i="24"/>
  <c r="H53" i="24"/>
  <c r="D53" i="24"/>
  <c r="B53" i="24"/>
  <c r="H52" i="24"/>
  <c r="D52" i="24"/>
  <c r="B52" i="24"/>
  <c r="H51" i="24"/>
  <c r="D51" i="24"/>
  <c r="B51" i="24"/>
  <c r="D50" i="24"/>
  <c r="B50" i="24"/>
  <c r="D47" i="24"/>
  <c r="B47" i="24"/>
  <c r="H46" i="24"/>
  <c r="D46" i="24"/>
  <c r="B46" i="24"/>
  <c r="H45" i="24"/>
  <c r="D45" i="24"/>
  <c r="B45" i="24"/>
  <c r="H44" i="24"/>
  <c r="D44" i="24"/>
  <c r="B44" i="24"/>
  <c r="H43" i="24"/>
  <c r="D43" i="24"/>
  <c r="B43" i="24"/>
  <c r="D42" i="24"/>
  <c r="B42" i="24"/>
  <c r="D39" i="24"/>
  <c r="B39" i="24"/>
  <c r="H38" i="24"/>
  <c r="D38" i="24"/>
  <c r="B38" i="24"/>
  <c r="H37" i="24"/>
  <c r="D37" i="24"/>
  <c r="B37" i="24"/>
  <c r="H36" i="24"/>
  <c r="D36" i="24"/>
  <c r="B36" i="24"/>
  <c r="H35" i="24"/>
  <c r="D35" i="24"/>
  <c r="B35" i="24"/>
  <c r="D34" i="24"/>
  <c r="B34" i="24"/>
  <c r="D31" i="24"/>
  <c r="B31" i="24"/>
  <c r="H30" i="24"/>
  <c r="D30" i="24"/>
  <c r="B30" i="24"/>
  <c r="H29" i="24"/>
  <c r="D29" i="24"/>
  <c r="B29" i="24"/>
  <c r="H28" i="24"/>
  <c r="D28" i="24"/>
  <c r="B28" i="24"/>
  <c r="H27" i="24"/>
  <c r="D27" i="24"/>
  <c r="B27" i="24"/>
  <c r="D26" i="24"/>
  <c r="B26" i="24"/>
  <c r="D23" i="24"/>
  <c r="B23" i="24"/>
  <c r="H22" i="24"/>
  <c r="D22" i="24"/>
  <c r="B22" i="24"/>
  <c r="H21" i="24"/>
  <c r="D21" i="24"/>
  <c r="B21" i="24"/>
  <c r="H20" i="24"/>
  <c r="D20" i="24"/>
  <c r="B20" i="24"/>
  <c r="Z19" i="24"/>
  <c r="Y19" i="24"/>
  <c r="X19" i="24"/>
  <c r="W19" i="24"/>
  <c r="H19" i="24"/>
  <c r="D19" i="24"/>
  <c r="B19" i="24"/>
  <c r="Z18" i="24"/>
  <c r="Y18" i="24"/>
  <c r="X18" i="24"/>
  <c r="W18" i="24"/>
  <c r="D18" i="24"/>
  <c r="B18" i="24"/>
  <c r="Z17" i="24"/>
  <c r="AA19" i="24" s="1"/>
  <c r="Y17" i="24"/>
  <c r="X17" i="24"/>
  <c r="W17" i="24"/>
  <c r="Z16" i="24"/>
  <c r="Y16" i="24"/>
  <c r="X16" i="24"/>
  <c r="AH16" i="24" s="1"/>
  <c r="W16" i="24"/>
  <c r="Z15" i="24"/>
  <c r="Y15" i="24"/>
  <c r="X15" i="24"/>
  <c r="AH15" i="24" s="1"/>
  <c r="W15" i="24"/>
  <c r="D15" i="24"/>
  <c r="B15" i="24"/>
  <c r="Z14" i="24"/>
  <c r="Y14" i="24"/>
  <c r="X14" i="24"/>
  <c r="AH14" i="24" s="1"/>
  <c r="W14" i="24"/>
  <c r="H14" i="24"/>
  <c r="D14" i="24"/>
  <c r="B14" i="24"/>
  <c r="Z13" i="24"/>
  <c r="Y13" i="24"/>
  <c r="X13" i="24"/>
  <c r="W13" i="24"/>
  <c r="AH13" i="24" s="1"/>
  <c r="H13" i="24"/>
  <c r="D13" i="24"/>
  <c r="B13" i="24"/>
  <c r="Z12" i="24"/>
  <c r="Y12" i="24"/>
  <c r="X12" i="24"/>
  <c r="AH12" i="24" s="1"/>
  <c r="W12" i="24"/>
  <c r="H12" i="24"/>
  <c r="D12" i="24"/>
  <c r="B12" i="24"/>
  <c r="Z11" i="24"/>
  <c r="Y11" i="24"/>
  <c r="X11" i="24"/>
  <c r="W11" i="24"/>
  <c r="AH11" i="24" s="1"/>
  <c r="H11" i="24"/>
  <c r="D11" i="24"/>
  <c r="B11" i="24"/>
  <c r="Z10" i="24"/>
  <c r="Y10" i="24"/>
  <c r="X10" i="24"/>
  <c r="AH10" i="24" s="1"/>
  <c r="W10" i="24"/>
  <c r="D10" i="24"/>
  <c r="B10" i="24"/>
  <c r="Z9" i="24"/>
  <c r="Y9" i="24"/>
  <c r="X9" i="24"/>
  <c r="W9" i="24"/>
  <c r="Z8" i="24"/>
  <c r="V13" i="24" s="1"/>
  <c r="Y8" i="24"/>
  <c r="X8" i="24"/>
  <c r="W8" i="24"/>
  <c r="Z7" i="24"/>
  <c r="AA14" i="24" s="1"/>
  <c r="Y7" i="24"/>
  <c r="X7" i="24"/>
  <c r="W7" i="24"/>
  <c r="D7" i="24"/>
  <c r="B7" i="24"/>
  <c r="Z6" i="24"/>
  <c r="V14" i="24" s="1"/>
  <c r="Y6" i="24"/>
  <c r="X6" i="24"/>
  <c r="W6" i="24"/>
  <c r="H6" i="24"/>
  <c r="D6" i="24"/>
  <c r="B6" i="24"/>
  <c r="Z5" i="24"/>
  <c r="Y5" i="24"/>
  <c r="X5" i="24"/>
  <c r="W5" i="24"/>
  <c r="H5" i="24"/>
  <c r="D5" i="24"/>
  <c r="B5" i="24"/>
  <c r="Z4" i="24"/>
  <c r="Y4" i="24"/>
  <c r="X4" i="24"/>
  <c r="W4" i="24"/>
  <c r="H4" i="24"/>
  <c r="D4" i="24"/>
  <c r="B4" i="24"/>
  <c r="H3" i="24"/>
  <c r="D3" i="24"/>
  <c r="B3" i="24"/>
  <c r="D2" i="24"/>
  <c r="B2" i="24"/>
  <c r="AA16" i="24"/>
  <c r="AA15" i="24"/>
  <c r="AC16" i="24"/>
  <c r="AF13" i="24"/>
  <c r="AF14" i="24"/>
  <c r="AF15" i="24"/>
  <c r="AF12" i="24"/>
  <c r="AC13" i="24"/>
  <c r="AC14" i="24"/>
  <c r="AC15" i="24"/>
  <c r="AC12" i="24"/>
  <c r="AG19" i="24"/>
  <c r="AG17" i="24"/>
  <c r="AG18" i="24"/>
  <c r="AG16" i="24"/>
  <c r="AB19" i="24"/>
  <c r="AB18" i="24"/>
  <c r="AB17" i="24"/>
  <c r="AB16" i="24"/>
  <c r="AG13" i="24"/>
  <c r="AG14" i="24"/>
  <c r="AG15" i="24"/>
  <c r="AG12" i="24"/>
  <c r="AB13" i="24"/>
  <c r="AB14" i="24"/>
  <c r="AB15" i="24"/>
  <c r="AB12" i="24"/>
  <c r="AC5" i="24"/>
  <c r="AF5" i="24"/>
  <c r="AG5" i="24"/>
  <c r="AC6" i="24"/>
  <c r="AF6" i="24"/>
  <c r="AG6" i="24"/>
  <c r="AC7" i="24"/>
  <c r="AF7" i="24"/>
  <c r="AG7" i="24"/>
  <c r="AC8" i="24"/>
  <c r="AF8" i="24"/>
  <c r="AG8" i="24"/>
  <c r="AC9" i="24"/>
  <c r="AF9" i="24"/>
  <c r="AG9" i="24"/>
  <c r="AC10" i="24"/>
  <c r="AF10" i="24"/>
  <c r="AG10" i="24"/>
  <c r="AC11" i="24"/>
  <c r="AF11" i="24"/>
  <c r="AG11" i="24"/>
  <c r="AG4" i="24"/>
  <c r="AF4" i="24"/>
  <c r="AC4" i="24"/>
  <c r="AB5" i="24"/>
  <c r="AB6" i="24"/>
  <c r="AB7" i="24"/>
  <c r="AB8" i="24"/>
  <c r="AB9" i="24"/>
  <c r="AB10" i="24"/>
  <c r="AB11" i="24"/>
  <c r="AB4" i="24"/>
  <c r="AX33" i="24"/>
  <c r="AX32" i="24"/>
  <c r="AX31" i="24"/>
  <c r="AX30" i="24"/>
  <c r="AX29" i="24"/>
  <c r="AX28" i="24"/>
  <c r="AX27" i="24"/>
  <c r="AX26" i="24"/>
  <c r="AX25" i="24"/>
  <c r="AX24" i="24"/>
  <c r="AX23" i="24"/>
  <c r="AX22" i="24"/>
  <c r="AX21" i="24"/>
  <c r="AX20" i="24"/>
  <c r="AX19" i="24"/>
  <c r="AI19" i="24"/>
  <c r="AX18" i="24"/>
  <c r="AH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X3" i="24"/>
  <c r="AX2" i="24"/>
  <c r="AR1" i="24"/>
  <c r="AW9" i="24" s="1"/>
  <c r="AC56" i="21"/>
  <c r="AH55" i="21"/>
  <c r="AE19" i="24" s="1"/>
  <c r="AG55" i="21"/>
  <c r="AD19" i="24" s="1"/>
  <c r="AH48" i="21"/>
  <c r="AE18" i="24" s="1"/>
  <c r="AG48" i="21"/>
  <c r="AD18" i="24" s="1"/>
  <c r="AH41" i="21"/>
  <c r="AE17" i="24" s="1"/>
  <c r="AG41" i="21"/>
  <c r="AD17" i="24" s="1"/>
  <c r="AH40" i="21"/>
  <c r="AE16" i="24" s="1"/>
  <c r="AG40" i="21"/>
  <c r="AD16" i="24" s="1"/>
  <c r="AH33" i="21"/>
  <c r="AE15" i="24" s="1"/>
  <c r="AG33" i="21"/>
  <c r="AD15" i="24" s="1"/>
  <c r="AH32" i="21"/>
  <c r="AE14" i="24" s="1"/>
  <c r="AG32" i="21"/>
  <c r="AD14" i="24" s="1"/>
  <c r="AH31" i="21"/>
  <c r="AE13" i="24" s="1"/>
  <c r="AG31" i="21"/>
  <c r="AD13" i="24" s="1"/>
  <c r="AH30" i="21"/>
  <c r="AE12" i="24" s="1"/>
  <c r="AG30" i="21"/>
  <c r="AD12" i="24" s="1"/>
  <c r="J35" i="24" a="1"/>
  <c r="J59" i="24" a="1"/>
  <c r="J11" i="25" a="1"/>
  <c r="J43" i="24" a="1"/>
  <c r="J59" i="25" a="1"/>
  <c r="J35" i="25" a="1"/>
  <c r="J3" i="24" a="1"/>
  <c r="J43" i="25" a="1"/>
  <c r="J27" i="25" a="1"/>
  <c r="J3" i="25" a="1"/>
  <c r="J19" i="24" a="1"/>
  <c r="J51" i="24" a="1"/>
  <c r="J19" i="25" a="1"/>
  <c r="J11" i="24" a="1"/>
  <c r="J51" i="25" a="1"/>
  <c r="J27" i="24" a="1"/>
  <c r="R6" i="25" l="1"/>
  <c r="P6" i="25"/>
  <c r="N6" i="25"/>
  <c r="L6" i="25"/>
  <c r="J6" i="25"/>
  <c r="R5" i="25"/>
  <c r="P5" i="25"/>
  <c r="N5" i="25"/>
  <c r="L5" i="25"/>
  <c r="J5" i="25"/>
  <c r="R4" i="25"/>
  <c r="P4" i="25"/>
  <c r="N4" i="25"/>
  <c r="L4" i="25"/>
  <c r="J4" i="25"/>
  <c r="R3" i="25"/>
  <c r="P3" i="25"/>
  <c r="N3" i="25"/>
  <c r="L3" i="25"/>
  <c r="J3" i="25"/>
  <c r="S6" i="25"/>
  <c r="Q6" i="25"/>
  <c r="O6" i="25"/>
  <c r="M6" i="25"/>
  <c r="K6" i="25"/>
  <c r="S5" i="25"/>
  <c r="Q5" i="25"/>
  <c r="O5" i="25"/>
  <c r="M5" i="25"/>
  <c r="K5" i="25"/>
  <c r="S4" i="25"/>
  <c r="Q4" i="25"/>
  <c r="O4" i="25"/>
  <c r="M4" i="25"/>
  <c r="K4" i="25"/>
  <c r="AA6" i="25" s="1"/>
  <c r="V18" i="23" s="1"/>
  <c r="S3" i="25"/>
  <c r="Q3" i="25"/>
  <c r="O3" i="25"/>
  <c r="M3" i="25"/>
  <c r="K3" i="25"/>
  <c r="V4" i="25" s="1"/>
  <c r="P16" i="23" s="1"/>
  <c r="S14" i="25"/>
  <c r="Q14" i="25"/>
  <c r="O14" i="25"/>
  <c r="M14" i="25"/>
  <c r="K14" i="25"/>
  <c r="S13" i="25"/>
  <c r="Q13" i="25"/>
  <c r="O13" i="25"/>
  <c r="M13" i="25"/>
  <c r="K13" i="25"/>
  <c r="S12" i="25"/>
  <c r="Q12" i="25"/>
  <c r="O12" i="25"/>
  <c r="M12" i="25"/>
  <c r="K12" i="25"/>
  <c r="S11" i="25"/>
  <c r="Q11" i="25"/>
  <c r="O11" i="25"/>
  <c r="M11" i="25"/>
  <c r="K11" i="25"/>
  <c r="R14" i="25"/>
  <c r="P14" i="25"/>
  <c r="N14" i="25"/>
  <c r="L14" i="25"/>
  <c r="J14" i="25"/>
  <c r="R13" i="25"/>
  <c r="P13" i="25"/>
  <c r="N13" i="25"/>
  <c r="L13" i="25"/>
  <c r="J13" i="25"/>
  <c r="R12" i="25"/>
  <c r="P12" i="25"/>
  <c r="N12" i="25"/>
  <c r="L12" i="25"/>
  <c r="J12" i="25"/>
  <c r="R11" i="25"/>
  <c r="P11" i="25"/>
  <c r="N11" i="25"/>
  <c r="L11" i="25"/>
  <c r="J11" i="25"/>
  <c r="R30" i="25"/>
  <c r="P30" i="25"/>
  <c r="N30" i="25"/>
  <c r="L30" i="25"/>
  <c r="J30" i="25"/>
  <c r="R29" i="25"/>
  <c r="P29" i="25"/>
  <c r="N29" i="25"/>
  <c r="L29" i="25"/>
  <c r="J29" i="25"/>
  <c r="R28" i="25"/>
  <c r="P28" i="25"/>
  <c r="N28" i="25"/>
  <c r="L28" i="25"/>
  <c r="J28" i="25"/>
  <c r="R27" i="25"/>
  <c r="P27" i="25"/>
  <c r="N27" i="25"/>
  <c r="L27" i="25"/>
  <c r="J27" i="25"/>
  <c r="S30" i="25"/>
  <c r="Q30" i="25"/>
  <c r="O30" i="25"/>
  <c r="M30" i="25"/>
  <c r="K30" i="25"/>
  <c r="S29" i="25"/>
  <c r="Q29" i="25"/>
  <c r="O29" i="25"/>
  <c r="M29" i="25"/>
  <c r="K29" i="25"/>
  <c r="S28" i="25"/>
  <c r="Q28" i="25"/>
  <c r="O28" i="25"/>
  <c r="M28" i="25"/>
  <c r="K28" i="25"/>
  <c r="AA5" i="25" s="1"/>
  <c r="V17" i="23" s="1"/>
  <c r="S27" i="25"/>
  <c r="Q27" i="25"/>
  <c r="O27" i="25"/>
  <c r="M27" i="25"/>
  <c r="K27" i="25"/>
  <c r="V7" i="25" s="1"/>
  <c r="P19" i="23" s="1"/>
  <c r="S22" i="25"/>
  <c r="Q22" i="25"/>
  <c r="O22" i="25"/>
  <c r="M22" i="25"/>
  <c r="K22" i="25"/>
  <c r="S21" i="25"/>
  <c r="Q21" i="25"/>
  <c r="O21" i="25"/>
  <c r="M21" i="25"/>
  <c r="K21" i="25"/>
  <c r="S20" i="25"/>
  <c r="Q20" i="25"/>
  <c r="O20" i="25"/>
  <c r="M20" i="25"/>
  <c r="K20" i="25"/>
  <c r="S19" i="25"/>
  <c r="Q19" i="25"/>
  <c r="O19" i="25"/>
  <c r="M19" i="25"/>
  <c r="K19" i="25"/>
  <c r="R22" i="25"/>
  <c r="P22" i="25"/>
  <c r="N22" i="25"/>
  <c r="L22" i="25"/>
  <c r="J22" i="25"/>
  <c r="R21" i="25"/>
  <c r="P21" i="25"/>
  <c r="N21" i="25"/>
  <c r="L21" i="25"/>
  <c r="J21" i="25"/>
  <c r="R20" i="25"/>
  <c r="P20" i="25"/>
  <c r="N20" i="25"/>
  <c r="L20" i="25"/>
  <c r="J20" i="25"/>
  <c r="R19" i="25"/>
  <c r="P19" i="25"/>
  <c r="N19" i="25"/>
  <c r="L19" i="25"/>
  <c r="J19" i="25"/>
  <c r="R38" i="25"/>
  <c r="P38" i="25"/>
  <c r="N38" i="25"/>
  <c r="L38" i="25"/>
  <c r="J38" i="25"/>
  <c r="R37" i="25"/>
  <c r="P37" i="25"/>
  <c r="N37" i="25"/>
  <c r="L37" i="25"/>
  <c r="J37" i="25"/>
  <c r="R36" i="25"/>
  <c r="P36" i="25"/>
  <c r="N36" i="25"/>
  <c r="L36" i="25"/>
  <c r="J36" i="25"/>
  <c r="R35" i="25"/>
  <c r="Q38" i="25"/>
  <c r="M38" i="25"/>
  <c r="S37" i="25"/>
  <c r="O37" i="25"/>
  <c r="K37" i="25"/>
  <c r="Q36" i="25"/>
  <c r="M36" i="25"/>
  <c r="S35" i="25"/>
  <c r="P35" i="25"/>
  <c r="N35" i="25"/>
  <c r="L35" i="25"/>
  <c r="J35" i="25"/>
  <c r="S38" i="25"/>
  <c r="O38" i="25"/>
  <c r="K38" i="25"/>
  <c r="Q37" i="25"/>
  <c r="M37" i="25"/>
  <c r="S36" i="25"/>
  <c r="O36" i="25"/>
  <c r="K36" i="25"/>
  <c r="AA10" i="25" s="1"/>
  <c r="V22" i="23" s="1"/>
  <c r="Q35" i="25"/>
  <c r="O35" i="25"/>
  <c r="M35" i="25"/>
  <c r="K35" i="25"/>
  <c r="V8" i="25" s="1"/>
  <c r="P20" i="23" s="1"/>
  <c r="R54" i="25"/>
  <c r="P54" i="25"/>
  <c r="N54" i="25"/>
  <c r="L54" i="25"/>
  <c r="J54" i="25"/>
  <c r="R53" i="25"/>
  <c r="P53" i="25"/>
  <c r="N53" i="25"/>
  <c r="L53" i="25"/>
  <c r="J53" i="25"/>
  <c r="R52" i="25"/>
  <c r="P52" i="25"/>
  <c r="N52" i="25"/>
  <c r="L52" i="25"/>
  <c r="J52" i="25"/>
  <c r="R51" i="25"/>
  <c r="P51" i="25"/>
  <c r="N51" i="25"/>
  <c r="L51" i="25"/>
  <c r="J51" i="25"/>
  <c r="S54" i="25"/>
  <c r="O54" i="25"/>
  <c r="K54" i="25"/>
  <c r="Q53" i="25"/>
  <c r="M53" i="25"/>
  <c r="S52" i="25"/>
  <c r="O52" i="25"/>
  <c r="K52" i="25"/>
  <c r="AA11" i="25" s="1"/>
  <c r="V23" i="23" s="1"/>
  <c r="Q51" i="25"/>
  <c r="M51" i="25"/>
  <c r="Q54" i="25"/>
  <c r="M54" i="25"/>
  <c r="S53" i="25"/>
  <c r="O53" i="25"/>
  <c r="K53" i="25"/>
  <c r="Q52" i="25"/>
  <c r="M52" i="25"/>
  <c r="S51" i="25"/>
  <c r="O51" i="25"/>
  <c r="K51" i="25"/>
  <c r="V9" i="25" s="1"/>
  <c r="P21" i="23" s="1"/>
  <c r="S46" i="25"/>
  <c r="Q46" i="25"/>
  <c r="O46" i="25"/>
  <c r="M46" i="25"/>
  <c r="K46" i="25"/>
  <c r="S45" i="25"/>
  <c r="Q45" i="25"/>
  <c r="O45" i="25"/>
  <c r="M45" i="25"/>
  <c r="K45" i="25"/>
  <c r="S44" i="25"/>
  <c r="Q44" i="25"/>
  <c r="O44" i="25"/>
  <c r="M44" i="25"/>
  <c r="K44" i="25"/>
  <c r="AA8" i="25" s="1"/>
  <c r="V20" i="23" s="1"/>
  <c r="S43" i="25"/>
  <c r="Q43" i="25"/>
  <c r="O43" i="25"/>
  <c r="M43" i="25"/>
  <c r="K43" i="25"/>
  <c r="V10" i="25" s="1"/>
  <c r="P22" i="23" s="1"/>
  <c r="P33" i="23" s="1"/>
  <c r="P46" i="25"/>
  <c r="L46" i="25"/>
  <c r="R45" i="25"/>
  <c r="N45" i="25"/>
  <c r="J45" i="25"/>
  <c r="P44" i="25"/>
  <c r="L44" i="25"/>
  <c r="R43" i="25"/>
  <c r="N43" i="25"/>
  <c r="J43" i="25"/>
  <c r="R46" i="25"/>
  <c r="N46" i="25"/>
  <c r="J46" i="25"/>
  <c r="P45" i="25"/>
  <c r="L45" i="25"/>
  <c r="R44" i="25"/>
  <c r="N44" i="25"/>
  <c r="J44" i="25"/>
  <c r="P43" i="25"/>
  <c r="L43" i="25"/>
  <c r="S62" i="25"/>
  <c r="Q62" i="25"/>
  <c r="O62" i="25"/>
  <c r="M62" i="25"/>
  <c r="K62" i="25"/>
  <c r="S61" i="25"/>
  <c r="Q61" i="25"/>
  <c r="O61" i="25"/>
  <c r="M61" i="25"/>
  <c r="K61" i="25"/>
  <c r="S60" i="25"/>
  <c r="Q60" i="25"/>
  <c r="O60" i="25"/>
  <c r="M60" i="25"/>
  <c r="K60" i="25"/>
  <c r="AA9" i="25" s="1"/>
  <c r="V21" i="23" s="1"/>
  <c r="S59" i="25"/>
  <c r="Q59" i="25"/>
  <c r="O59" i="25"/>
  <c r="M59" i="25"/>
  <c r="K59" i="25"/>
  <c r="V11" i="25" s="1"/>
  <c r="P23" i="23" s="1"/>
  <c r="V33" i="23" s="1"/>
  <c r="R62" i="25"/>
  <c r="N62" i="25"/>
  <c r="J62" i="25"/>
  <c r="P61" i="25"/>
  <c r="L61" i="25"/>
  <c r="R60" i="25"/>
  <c r="N60" i="25"/>
  <c r="J60" i="25"/>
  <c r="P59" i="25"/>
  <c r="L59" i="25"/>
  <c r="P62" i="25"/>
  <c r="L62" i="25"/>
  <c r="R61" i="25"/>
  <c r="N61" i="25"/>
  <c r="J61" i="25"/>
  <c r="P60" i="25"/>
  <c r="L60" i="25"/>
  <c r="R59" i="25"/>
  <c r="N59" i="25"/>
  <c r="J59" i="25"/>
  <c r="V12" i="25"/>
  <c r="AW4" i="25"/>
  <c r="AI5" i="25"/>
  <c r="AW5" i="25"/>
  <c r="AI6" i="25"/>
  <c r="AW6" i="25"/>
  <c r="AI7" i="25"/>
  <c r="AW7" i="25"/>
  <c r="AI8" i="25"/>
  <c r="AA13" i="25"/>
  <c r="AH9" i="25"/>
  <c r="AI9" i="25"/>
  <c r="AW19" i="25"/>
  <c r="AV18" i="25"/>
  <c r="AV17" i="25"/>
  <c r="AV19" i="25"/>
  <c r="AW18" i="25"/>
  <c r="AW17" i="25"/>
  <c r="AW16" i="25"/>
  <c r="AW15" i="25"/>
  <c r="AW14" i="25"/>
  <c r="AW13" i="25"/>
  <c r="AW12" i="25"/>
  <c r="AW11" i="25"/>
  <c r="AV10" i="25"/>
  <c r="AV9" i="25"/>
  <c r="AV16" i="25"/>
  <c r="AV15" i="25"/>
  <c r="AV14" i="25"/>
  <c r="AV13" i="25"/>
  <c r="AV12" i="25"/>
  <c r="AV11" i="25"/>
  <c r="AW10" i="25"/>
  <c r="AW9" i="25"/>
  <c r="AH4" i="25"/>
  <c r="AV4" i="25"/>
  <c r="AH5" i="25"/>
  <c r="AV5" i="25"/>
  <c r="AH6" i="25"/>
  <c r="AV6" i="25"/>
  <c r="AH7" i="25"/>
  <c r="AV7" i="25"/>
  <c r="AH8" i="25"/>
  <c r="AV8" i="25"/>
  <c r="AI10" i="25"/>
  <c r="V15" i="25"/>
  <c r="V16" i="25"/>
  <c r="AI11" i="25"/>
  <c r="AI13" i="25"/>
  <c r="V17" i="25"/>
  <c r="AI14" i="25"/>
  <c r="AA17" i="25"/>
  <c r="AI15" i="25"/>
  <c r="V18" i="25"/>
  <c r="V19" i="25"/>
  <c r="AI16" i="25"/>
  <c r="AI17" i="25"/>
  <c r="AA18" i="25"/>
  <c r="AI18" i="25"/>
  <c r="AH19" i="25"/>
  <c r="AH17" i="25"/>
  <c r="AI12" i="24"/>
  <c r="R6" i="24"/>
  <c r="P6" i="24"/>
  <c r="N6" i="24"/>
  <c r="L6" i="24"/>
  <c r="J6" i="24"/>
  <c r="R5" i="24"/>
  <c r="P5" i="24"/>
  <c r="N5" i="24"/>
  <c r="L5" i="24"/>
  <c r="J5" i="24"/>
  <c r="R4" i="24"/>
  <c r="P4" i="24"/>
  <c r="N4" i="24"/>
  <c r="L4" i="24"/>
  <c r="J4" i="24"/>
  <c r="R3" i="24"/>
  <c r="P3" i="24"/>
  <c r="N3" i="24"/>
  <c r="L3" i="24"/>
  <c r="J3" i="24"/>
  <c r="S6" i="24"/>
  <c r="Q6" i="24"/>
  <c r="O6" i="24"/>
  <c r="M6" i="24"/>
  <c r="K6" i="24"/>
  <c r="S5" i="24"/>
  <c r="Q5" i="24"/>
  <c r="O5" i="24"/>
  <c r="M5" i="24"/>
  <c r="K5" i="24"/>
  <c r="S4" i="24"/>
  <c r="Q4" i="24"/>
  <c r="O4" i="24"/>
  <c r="M4" i="24"/>
  <c r="K4" i="24"/>
  <c r="AA6" i="24" s="1"/>
  <c r="V18" i="21" s="1"/>
  <c r="S3" i="24"/>
  <c r="Q3" i="24"/>
  <c r="O3" i="24"/>
  <c r="M3" i="24"/>
  <c r="K3" i="24"/>
  <c r="V4" i="24" s="1"/>
  <c r="S14" i="24"/>
  <c r="Q14" i="24"/>
  <c r="O14" i="24"/>
  <c r="M14" i="24"/>
  <c r="K14" i="24"/>
  <c r="S13" i="24"/>
  <c r="Q13" i="24"/>
  <c r="O13" i="24"/>
  <c r="M13" i="24"/>
  <c r="K13" i="24"/>
  <c r="S12" i="24"/>
  <c r="Q12" i="24"/>
  <c r="O12" i="24"/>
  <c r="M12" i="24"/>
  <c r="K12" i="24"/>
  <c r="S11" i="24"/>
  <c r="Q11" i="24"/>
  <c r="O11" i="24"/>
  <c r="M11" i="24"/>
  <c r="K11" i="24"/>
  <c r="R14" i="24"/>
  <c r="P14" i="24"/>
  <c r="N14" i="24"/>
  <c r="L14" i="24"/>
  <c r="J14" i="24"/>
  <c r="R13" i="24"/>
  <c r="P13" i="24"/>
  <c r="N13" i="24"/>
  <c r="L13" i="24"/>
  <c r="J13" i="24"/>
  <c r="R12" i="24"/>
  <c r="P12" i="24"/>
  <c r="N12" i="24"/>
  <c r="L12" i="24"/>
  <c r="J12" i="24"/>
  <c r="R11" i="24"/>
  <c r="P11" i="24"/>
  <c r="N11" i="24"/>
  <c r="L11" i="24"/>
  <c r="J11" i="24"/>
  <c r="R30" i="24"/>
  <c r="P30" i="24"/>
  <c r="N30" i="24"/>
  <c r="L30" i="24"/>
  <c r="J30" i="24"/>
  <c r="R29" i="24"/>
  <c r="P29" i="24"/>
  <c r="N29" i="24"/>
  <c r="L29" i="24"/>
  <c r="J29" i="24"/>
  <c r="R28" i="24"/>
  <c r="P28" i="24"/>
  <c r="N28" i="24"/>
  <c r="L28" i="24"/>
  <c r="J28" i="24"/>
  <c r="R27" i="24"/>
  <c r="P27" i="24"/>
  <c r="N27" i="24"/>
  <c r="L27" i="24"/>
  <c r="J27" i="24"/>
  <c r="S30" i="24"/>
  <c r="Q30" i="24"/>
  <c r="O30" i="24"/>
  <c r="M30" i="24"/>
  <c r="K30" i="24"/>
  <c r="S29" i="24"/>
  <c r="Q29" i="24"/>
  <c r="O29" i="24"/>
  <c r="M29" i="24"/>
  <c r="K29" i="24"/>
  <c r="S28" i="24"/>
  <c r="Q28" i="24"/>
  <c r="O28" i="24"/>
  <c r="M28" i="24"/>
  <c r="K28" i="24"/>
  <c r="AA5" i="24" s="1"/>
  <c r="V17" i="21" s="1"/>
  <c r="S27" i="24"/>
  <c r="Q27" i="24"/>
  <c r="O27" i="24"/>
  <c r="M27" i="24"/>
  <c r="K27" i="24"/>
  <c r="V7" i="24" s="1"/>
  <c r="P19" i="21" s="1"/>
  <c r="S22" i="24"/>
  <c r="Q22" i="24"/>
  <c r="O22" i="24"/>
  <c r="M22" i="24"/>
  <c r="K22" i="24"/>
  <c r="S21" i="24"/>
  <c r="Q21" i="24"/>
  <c r="O21" i="24"/>
  <c r="M21" i="24"/>
  <c r="K21" i="24"/>
  <c r="S20" i="24"/>
  <c r="Q20" i="24"/>
  <c r="O20" i="24"/>
  <c r="M20" i="24"/>
  <c r="K20" i="24"/>
  <c r="S19" i="24"/>
  <c r="Q19" i="24"/>
  <c r="O19" i="24"/>
  <c r="M19" i="24"/>
  <c r="K19" i="24"/>
  <c r="R22" i="24"/>
  <c r="P22" i="24"/>
  <c r="N22" i="24"/>
  <c r="L22" i="24"/>
  <c r="J22" i="24"/>
  <c r="R21" i="24"/>
  <c r="P21" i="24"/>
  <c r="N21" i="24"/>
  <c r="L21" i="24"/>
  <c r="J21" i="24"/>
  <c r="R20" i="24"/>
  <c r="P20" i="24"/>
  <c r="N20" i="24"/>
  <c r="L20" i="24"/>
  <c r="J20" i="24"/>
  <c r="R19" i="24"/>
  <c r="P19" i="24"/>
  <c r="N19" i="24"/>
  <c r="L19" i="24"/>
  <c r="J19" i="24"/>
  <c r="R38" i="24"/>
  <c r="P38" i="24"/>
  <c r="N38" i="24"/>
  <c r="L38" i="24"/>
  <c r="J38" i="24"/>
  <c r="R37" i="24"/>
  <c r="P37" i="24"/>
  <c r="N37" i="24"/>
  <c r="L37" i="24"/>
  <c r="J37" i="24"/>
  <c r="R36" i="24"/>
  <c r="P36" i="24"/>
  <c r="N36" i="24"/>
  <c r="L36" i="24"/>
  <c r="J36" i="24"/>
  <c r="R35" i="24"/>
  <c r="Q38" i="24"/>
  <c r="M38" i="24"/>
  <c r="S37" i="24"/>
  <c r="O37" i="24"/>
  <c r="K37" i="24"/>
  <c r="Q36" i="24"/>
  <c r="M36" i="24"/>
  <c r="S35" i="24"/>
  <c r="P35" i="24"/>
  <c r="N35" i="24"/>
  <c r="L35" i="24"/>
  <c r="J35" i="24"/>
  <c r="S38" i="24"/>
  <c r="O38" i="24"/>
  <c r="K38" i="24"/>
  <c r="Q37" i="24"/>
  <c r="M37" i="24"/>
  <c r="S36" i="24"/>
  <c r="O36" i="24"/>
  <c r="K36" i="24"/>
  <c r="AA10" i="24" s="1"/>
  <c r="V22" i="21" s="1"/>
  <c r="Q35" i="24"/>
  <c r="O35" i="24"/>
  <c r="M35" i="24"/>
  <c r="K35" i="24"/>
  <c r="V8" i="24" s="1"/>
  <c r="P20" i="21" s="1"/>
  <c r="R54" i="24"/>
  <c r="P54" i="24"/>
  <c r="N54" i="24"/>
  <c r="L54" i="24"/>
  <c r="J54" i="24"/>
  <c r="R53" i="24"/>
  <c r="P53" i="24"/>
  <c r="N53" i="24"/>
  <c r="L53" i="24"/>
  <c r="J53" i="24"/>
  <c r="R52" i="24"/>
  <c r="P52" i="24"/>
  <c r="N52" i="24"/>
  <c r="L52" i="24"/>
  <c r="J52" i="24"/>
  <c r="R51" i="24"/>
  <c r="P51" i="24"/>
  <c r="N51" i="24"/>
  <c r="L51" i="24"/>
  <c r="J51" i="24"/>
  <c r="S54" i="24"/>
  <c r="O54" i="24"/>
  <c r="K54" i="24"/>
  <c r="Q53" i="24"/>
  <c r="M53" i="24"/>
  <c r="S52" i="24"/>
  <c r="O52" i="24"/>
  <c r="K52" i="24"/>
  <c r="AA11" i="24" s="1"/>
  <c r="V23" i="21" s="1"/>
  <c r="Q51" i="24"/>
  <c r="M51" i="24"/>
  <c r="Q54" i="24"/>
  <c r="M54" i="24"/>
  <c r="S53" i="24"/>
  <c r="O53" i="24"/>
  <c r="K53" i="24"/>
  <c r="Q52" i="24"/>
  <c r="M52" i="24"/>
  <c r="S51" i="24"/>
  <c r="O51" i="24"/>
  <c r="K51" i="24"/>
  <c r="V9" i="24" s="1"/>
  <c r="P21" i="21" s="1"/>
  <c r="S46" i="24"/>
  <c r="Q46" i="24"/>
  <c r="O46" i="24"/>
  <c r="M46" i="24"/>
  <c r="K46" i="24"/>
  <c r="S45" i="24"/>
  <c r="Q45" i="24"/>
  <c r="O45" i="24"/>
  <c r="M45" i="24"/>
  <c r="K45" i="24"/>
  <c r="S44" i="24"/>
  <c r="Q44" i="24"/>
  <c r="O44" i="24"/>
  <c r="M44" i="24"/>
  <c r="K44" i="24"/>
  <c r="AA8" i="24" s="1"/>
  <c r="V20" i="21" s="1"/>
  <c r="S43" i="24"/>
  <c r="Q43" i="24"/>
  <c r="O43" i="24"/>
  <c r="M43" i="24"/>
  <c r="K43" i="24"/>
  <c r="V10" i="24" s="1"/>
  <c r="P22" i="21" s="1"/>
  <c r="P46" i="24"/>
  <c r="L46" i="24"/>
  <c r="R45" i="24"/>
  <c r="N45" i="24"/>
  <c r="J45" i="24"/>
  <c r="P44" i="24"/>
  <c r="L44" i="24"/>
  <c r="R43" i="24"/>
  <c r="N43" i="24"/>
  <c r="J43" i="24"/>
  <c r="R46" i="24"/>
  <c r="N46" i="24"/>
  <c r="J46" i="24"/>
  <c r="P45" i="24"/>
  <c r="L45" i="24"/>
  <c r="R44" i="24"/>
  <c r="N44" i="24"/>
  <c r="J44" i="24"/>
  <c r="P43" i="24"/>
  <c r="L43" i="24"/>
  <c r="S62" i="24"/>
  <c r="Q62" i="24"/>
  <c r="O62" i="24"/>
  <c r="M62" i="24"/>
  <c r="K62" i="24"/>
  <c r="S61" i="24"/>
  <c r="Q61" i="24"/>
  <c r="O61" i="24"/>
  <c r="M61" i="24"/>
  <c r="K61" i="24"/>
  <c r="S60" i="24"/>
  <c r="Q60" i="24"/>
  <c r="O60" i="24"/>
  <c r="M60" i="24"/>
  <c r="K60" i="24"/>
  <c r="AA9" i="24" s="1"/>
  <c r="V21" i="21" s="1"/>
  <c r="S59" i="24"/>
  <c r="Q59" i="24"/>
  <c r="O59" i="24"/>
  <c r="M59" i="24"/>
  <c r="K59" i="24"/>
  <c r="V11" i="24" s="1"/>
  <c r="P23" i="21" s="1"/>
  <c r="R62" i="24"/>
  <c r="N62" i="24"/>
  <c r="J62" i="24"/>
  <c r="P61" i="24"/>
  <c r="L61" i="24"/>
  <c r="R60" i="24"/>
  <c r="N60" i="24"/>
  <c r="J60" i="24"/>
  <c r="P59" i="24"/>
  <c r="L59" i="24"/>
  <c r="P62" i="24"/>
  <c r="L62" i="24"/>
  <c r="R61" i="24"/>
  <c r="N61" i="24"/>
  <c r="J61" i="24"/>
  <c r="P60" i="24"/>
  <c r="L60" i="24"/>
  <c r="R59" i="24"/>
  <c r="N59" i="24"/>
  <c r="J59" i="24"/>
  <c r="AW4" i="24"/>
  <c r="AW5" i="24"/>
  <c r="AI6" i="24"/>
  <c r="AW6" i="24"/>
  <c r="AI7" i="24"/>
  <c r="AW7" i="24"/>
  <c r="AI8" i="24"/>
  <c r="AW8" i="24"/>
  <c r="AA13" i="24"/>
  <c r="AH9" i="24"/>
  <c r="AI9" i="24"/>
  <c r="AW19" i="24"/>
  <c r="AV18" i="24"/>
  <c r="AV17" i="24"/>
  <c r="AV19" i="24"/>
  <c r="AW18" i="24"/>
  <c r="AW17" i="24"/>
  <c r="AW16" i="24"/>
  <c r="AW15" i="24"/>
  <c r="AW14" i="24"/>
  <c r="AW13" i="24"/>
  <c r="AW12" i="24"/>
  <c r="AW11" i="24"/>
  <c r="AV10" i="24"/>
  <c r="AV9" i="24"/>
  <c r="AV16" i="24"/>
  <c r="AV15" i="24"/>
  <c r="AV14" i="24"/>
  <c r="AV13" i="24"/>
  <c r="AV12" i="24"/>
  <c r="AV11" i="24"/>
  <c r="AW10" i="24"/>
  <c r="AV4" i="24"/>
  <c r="AV5" i="24"/>
  <c r="AH6" i="24"/>
  <c r="AV6" i="24"/>
  <c r="AH7" i="24"/>
  <c r="AV7" i="24"/>
  <c r="AH8" i="24"/>
  <c r="AV8" i="24"/>
  <c r="AI10" i="24"/>
  <c r="V15" i="24"/>
  <c r="V16" i="24"/>
  <c r="AI11" i="24"/>
  <c r="AI13" i="24"/>
  <c r="V17" i="24"/>
  <c r="AI14" i="24"/>
  <c r="AA17" i="24"/>
  <c r="AI15" i="24"/>
  <c r="V18" i="24"/>
  <c r="V19" i="24"/>
  <c r="AI16" i="24"/>
  <c r="AI17" i="24"/>
  <c r="AA18" i="24"/>
  <c r="AI18" i="24"/>
  <c r="AH19" i="24"/>
  <c r="AH17" i="24"/>
  <c r="BB3" i="24" l="1"/>
  <c r="V31" i="23"/>
  <c r="P31" i="23"/>
  <c r="BB5" i="25"/>
  <c r="BB5" i="24"/>
  <c r="V41" i="23"/>
  <c r="BB2" i="25"/>
  <c r="BB11" i="25"/>
  <c r="BB21" i="25"/>
  <c r="AZ33" i="25"/>
  <c r="BB14" i="24"/>
  <c r="BB7" i="24"/>
  <c r="AZ29" i="25"/>
  <c r="BB19" i="25"/>
  <c r="BB9" i="25"/>
  <c r="BB15" i="25"/>
  <c r="BB14" i="25"/>
  <c r="BB7" i="25"/>
  <c r="BB3" i="25"/>
  <c r="BB30" i="24"/>
  <c r="BB20" i="24"/>
  <c r="BB12" i="24"/>
  <c r="AZ31" i="25"/>
  <c r="BB18" i="25"/>
  <c r="BB23" i="25"/>
  <c r="BB12" i="25"/>
  <c r="BB8" i="25"/>
  <c r="BB6" i="25"/>
  <c r="BB4" i="25"/>
  <c r="BB15" i="24"/>
  <c r="BB18" i="24"/>
  <c r="BB24" i="24"/>
  <c r="AI5" i="24"/>
  <c r="AZ32" i="25"/>
  <c r="AZ30" i="25"/>
  <c r="BB27" i="25"/>
  <c r="BB17" i="25"/>
  <c r="BB25" i="25"/>
  <c r="V5" i="24"/>
  <c r="V5" i="25"/>
  <c r="P17" i="23" s="1"/>
  <c r="V30" i="23" s="1"/>
  <c r="BB32" i="24"/>
  <c r="BB27" i="24"/>
  <c r="BB17" i="24"/>
  <c r="BB26" i="24"/>
  <c r="BB22" i="24"/>
  <c r="BB16" i="24"/>
  <c r="AA7" i="24"/>
  <c r="V19" i="21" s="1"/>
  <c r="BB33" i="25"/>
  <c r="BB32" i="25"/>
  <c r="BB31" i="25"/>
  <c r="BB30" i="25"/>
  <c r="BB29" i="25"/>
  <c r="BB28" i="25"/>
  <c r="AZ27" i="25"/>
  <c r="BF27" i="25" s="1"/>
  <c r="AZ18" i="25"/>
  <c r="AZ17" i="25"/>
  <c r="BB26" i="25"/>
  <c r="BB24" i="25"/>
  <c r="BB22" i="25"/>
  <c r="BB20" i="25"/>
  <c r="BB16" i="25"/>
  <c r="BB10" i="25"/>
  <c r="BB13" i="25"/>
  <c r="AA7" i="25"/>
  <c r="V19" i="23" s="1"/>
  <c r="V32" i="23" s="1"/>
  <c r="AA12" i="24"/>
  <c r="AZ12" i="25"/>
  <c r="AZ8" i="25"/>
  <c r="AZ6" i="25"/>
  <c r="AZ4" i="25"/>
  <c r="V12" i="24"/>
  <c r="P16" i="21"/>
  <c r="AZ25" i="25"/>
  <c r="AZ23" i="25"/>
  <c r="AZ21" i="25"/>
  <c r="AZ19" i="25"/>
  <c r="AZ10" i="25"/>
  <c r="AZ9" i="25"/>
  <c r="AZ13" i="25"/>
  <c r="AZ11" i="25"/>
  <c r="AZ7" i="25"/>
  <c r="BF7" i="25" s="1"/>
  <c r="AZ5" i="25"/>
  <c r="AZ3" i="25"/>
  <c r="AZ2" i="25"/>
  <c r="BF2" i="25" s="1"/>
  <c r="V6" i="25"/>
  <c r="P18" i="23" s="1"/>
  <c r="P32" i="23" s="1"/>
  <c r="AZ28" i="25"/>
  <c r="AZ16" i="25"/>
  <c r="AZ26" i="25"/>
  <c r="AZ24" i="25"/>
  <c r="AZ22" i="25"/>
  <c r="AZ20" i="25"/>
  <c r="AZ15" i="25"/>
  <c r="AZ14" i="25"/>
  <c r="AA4" i="25"/>
  <c r="V6" i="24"/>
  <c r="P18" i="21" s="1"/>
  <c r="BB33" i="24"/>
  <c r="BB31" i="24"/>
  <c r="BB29" i="24"/>
  <c r="BB28" i="24"/>
  <c r="BB25" i="24"/>
  <c r="BB23" i="24"/>
  <c r="BB21" i="24"/>
  <c r="BB19" i="24"/>
  <c r="BB10" i="24"/>
  <c r="BB9" i="24"/>
  <c r="BB13" i="24"/>
  <c r="BB11" i="24"/>
  <c r="BB8" i="24"/>
  <c r="BB6" i="24"/>
  <c r="BB4" i="24"/>
  <c r="AH4" i="24"/>
  <c r="BB2" i="24"/>
  <c r="AA4" i="24"/>
  <c r="BF33" i="25" l="1"/>
  <c r="BF5" i="25"/>
  <c r="V40" i="23"/>
  <c r="BF15" i="25"/>
  <c r="BF11" i="25"/>
  <c r="BF19" i="25"/>
  <c r="P41" i="23"/>
  <c r="AI4" i="25"/>
  <c r="BD6" i="25" s="1"/>
  <c r="V16" i="23"/>
  <c r="P30" i="23" s="1"/>
  <c r="BF14" i="25"/>
  <c r="BF3" i="25"/>
  <c r="BF21" i="25"/>
  <c r="BF30" i="25"/>
  <c r="BF22" i="25"/>
  <c r="BF26" i="25"/>
  <c r="BF28" i="25"/>
  <c r="BF9" i="25"/>
  <c r="BF23" i="25"/>
  <c r="BF4" i="25"/>
  <c r="BF8" i="25"/>
  <c r="BF29" i="25"/>
  <c r="BF10" i="25"/>
  <c r="BF25" i="25"/>
  <c r="BF6" i="25"/>
  <c r="BF12" i="25"/>
  <c r="BF18" i="25"/>
  <c r="BF32" i="25"/>
  <c r="BF16" i="25"/>
  <c r="BF13" i="25"/>
  <c r="BF17" i="25"/>
  <c r="BF31" i="25"/>
  <c r="BF20" i="25"/>
  <c r="BF24" i="25"/>
  <c r="P17" i="21"/>
  <c r="AH5" i="24"/>
  <c r="AZ3" i="24" s="1"/>
  <c r="BF3" i="24" s="1"/>
  <c r="BD4" i="25"/>
  <c r="BD24" i="25"/>
  <c r="BD7" i="25"/>
  <c r="BD25" i="25"/>
  <c r="AY3" i="25"/>
  <c r="AY5" i="25"/>
  <c r="AY7" i="25"/>
  <c r="AY9" i="25"/>
  <c r="AY27" i="25"/>
  <c r="AI4" i="24"/>
  <c r="BD16" i="24" s="1"/>
  <c r="V16" i="21"/>
  <c r="AY4" i="25"/>
  <c r="AY6" i="25"/>
  <c r="AY8" i="25"/>
  <c r="AY10" i="25"/>
  <c r="BD16" i="25"/>
  <c r="AY2" i="25"/>
  <c r="BJ4" i="25"/>
  <c r="BJ6" i="25"/>
  <c r="BJ7" i="25"/>
  <c r="BH2" i="25"/>
  <c r="BJ10" i="25"/>
  <c r="AY12" i="25"/>
  <c r="AY14" i="25"/>
  <c r="BH3" i="25"/>
  <c r="BH5" i="25"/>
  <c r="BH7" i="25"/>
  <c r="BJ9" i="25"/>
  <c r="BH11" i="25"/>
  <c r="BJ12" i="25"/>
  <c r="BH13" i="25"/>
  <c r="BJ14" i="25"/>
  <c r="BJ15" i="25"/>
  <c r="BJ18" i="25"/>
  <c r="AY20" i="25"/>
  <c r="AY22" i="25"/>
  <c r="AY26" i="25"/>
  <c r="BH28" i="25"/>
  <c r="BH9" i="25"/>
  <c r="BH10" i="25"/>
  <c r="BL10" i="25" s="1"/>
  <c r="BJ16" i="25"/>
  <c r="AY16" i="25"/>
  <c r="BJ17" i="25"/>
  <c r="AY25" i="25"/>
  <c r="AY17" i="25"/>
  <c r="BH19" i="25"/>
  <c r="BJ20" i="25"/>
  <c r="BH21" i="25"/>
  <c r="BJ22" i="25"/>
  <c r="BH23" i="25"/>
  <c r="BJ24" i="25"/>
  <c r="BH25" i="25"/>
  <c r="BJ26" i="25"/>
  <c r="AY30" i="25"/>
  <c r="BH17" i="25"/>
  <c r="BL17" i="25" s="1"/>
  <c r="BH18" i="25"/>
  <c r="BL18" i="25" s="1"/>
  <c r="BH27" i="25"/>
  <c r="BJ28" i="25"/>
  <c r="AY31" i="25"/>
  <c r="BJ29" i="25"/>
  <c r="BH30" i="25"/>
  <c r="BJ31" i="25"/>
  <c r="BH32" i="25"/>
  <c r="BJ33" i="25"/>
  <c r="BJ3" i="25"/>
  <c r="BJ5" i="25"/>
  <c r="BJ8" i="25"/>
  <c r="BJ2" i="25"/>
  <c r="AY11" i="25"/>
  <c r="AY13" i="25"/>
  <c r="BH4" i="25"/>
  <c r="BH6" i="25"/>
  <c r="BH8" i="25"/>
  <c r="BL8" i="25" s="1"/>
  <c r="AY15" i="25"/>
  <c r="BJ11" i="25"/>
  <c r="BH12" i="25"/>
  <c r="BL12" i="25" s="1"/>
  <c r="BJ13" i="25"/>
  <c r="BH14" i="25"/>
  <c r="BH15" i="25"/>
  <c r="BL15" i="25" s="1"/>
  <c r="AY19" i="25"/>
  <c r="AY21" i="25"/>
  <c r="AY24" i="25"/>
  <c r="BJ27" i="25"/>
  <c r="BH16" i="25"/>
  <c r="AY23" i="25"/>
  <c r="AY18" i="25"/>
  <c r="BJ19" i="25"/>
  <c r="BH20" i="25"/>
  <c r="BJ21" i="25"/>
  <c r="BH22" i="25"/>
  <c r="BJ23" i="25"/>
  <c r="BH24" i="25"/>
  <c r="BJ25" i="25"/>
  <c r="BH26" i="25"/>
  <c r="AY29" i="25"/>
  <c r="AY32" i="25"/>
  <c r="AY28" i="25"/>
  <c r="AY33" i="25"/>
  <c r="BH29" i="25"/>
  <c r="BJ30" i="25"/>
  <c r="BH31" i="25"/>
  <c r="BJ32" i="25"/>
  <c r="BH33" i="25"/>
  <c r="BJ3" i="24"/>
  <c r="BJ8" i="24"/>
  <c r="AY11" i="24"/>
  <c r="AZ29" i="24"/>
  <c r="BF29" i="24" s="1"/>
  <c r="BH4" i="24"/>
  <c r="BH6" i="24"/>
  <c r="BH8" i="24"/>
  <c r="BJ12" i="24"/>
  <c r="BH13" i="24"/>
  <c r="BD14" i="24"/>
  <c r="BJ15" i="24"/>
  <c r="AY20" i="24"/>
  <c r="AY26" i="24"/>
  <c r="BJ16" i="24"/>
  <c r="BJ17" i="24"/>
  <c r="AY17" i="24"/>
  <c r="BH19" i="24"/>
  <c r="BJ22" i="24"/>
  <c r="BH23" i="24"/>
  <c r="BD24" i="24"/>
  <c r="BJ26" i="24"/>
  <c r="AY29" i="24"/>
  <c r="AY28" i="24"/>
  <c r="AY33" i="24"/>
  <c r="BH29" i="24"/>
  <c r="BJ32" i="24"/>
  <c r="BH33" i="24"/>
  <c r="AY4" i="24"/>
  <c r="AY6" i="24"/>
  <c r="AY8" i="24"/>
  <c r="AY10" i="24"/>
  <c r="BD9" i="24"/>
  <c r="BJ5" i="24"/>
  <c r="BJ7" i="24"/>
  <c r="BH2" i="24"/>
  <c r="AY13" i="24"/>
  <c r="BJ9" i="24"/>
  <c r="BH11" i="24"/>
  <c r="BJ14" i="24"/>
  <c r="BJ18" i="24"/>
  <c r="AY22" i="24"/>
  <c r="BH28" i="24"/>
  <c r="BH9" i="24"/>
  <c r="BH10" i="24"/>
  <c r="AY16" i="24"/>
  <c r="AY25" i="24"/>
  <c r="BJ20" i="24"/>
  <c r="BH21" i="24"/>
  <c r="BJ24" i="24"/>
  <c r="BH25" i="24"/>
  <c r="AY32" i="24"/>
  <c r="BJ30" i="24"/>
  <c r="BH31" i="24"/>
  <c r="AY3" i="24"/>
  <c r="AY5" i="24"/>
  <c r="AY7" i="24"/>
  <c r="AY9" i="24"/>
  <c r="BJ4" i="24"/>
  <c r="BJ6" i="24"/>
  <c r="AY2" i="24"/>
  <c r="BJ2" i="24"/>
  <c r="BJ10" i="24"/>
  <c r="AY12" i="24"/>
  <c r="AY14" i="24"/>
  <c r="BH3" i="24"/>
  <c r="BH5" i="24"/>
  <c r="BH7" i="24"/>
  <c r="AY15" i="24"/>
  <c r="BJ11" i="24"/>
  <c r="BH12" i="24"/>
  <c r="BJ13" i="24"/>
  <c r="BH14" i="24"/>
  <c r="BH15" i="24"/>
  <c r="AY19" i="24"/>
  <c r="AY21" i="24"/>
  <c r="AY24" i="24"/>
  <c r="BJ27" i="24"/>
  <c r="BH16" i="24"/>
  <c r="AY23" i="24"/>
  <c r="AY18" i="24"/>
  <c r="BJ19" i="24"/>
  <c r="BH20" i="24"/>
  <c r="BJ21" i="24"/>
  <c r="BH22" i="24"/>
  <c r="BJ23" i="24"/>
  <c r="BH24" i="24"/>
  <c r="BJ25" i="24"/>
  <c r="BH26" i="24"/>
  <c r="AY27" i="24"/>
  <c r="AY30" i="24"/>
  <c r="BH17" i="24"/>
  <c r="BH18" i="24"/>
  <c r="BH27" i="24"/>
  <c r="BL27" i="24" s="1"/>
  <c r="BJ28" i="24"/>
  <c r="AY31" i="24"/>
  <c r="BJ29" i="24"/>
  <c r="BH30" i="24"/>
  <c r="BJ31" i="24"/>
  <c r="BH32" i="24"/>
  <c r="BJ33" i="24"/>
  <c r="AZ30" i="24" l="1"/>
  <c r="BF30" i="24" s="1"/>
  <c r="BD31" i="24"/>
  <c r="AZ11" i="24"/>
  <c r="BF11" i="24" s="1"/>
  <c r="BD30" i="25"/>
  <c r="BD10" i="25"/>
  <c r="BD33" i="25"/>
  <c r="BD14" i="25"/>
  <c r="AZ16" i="24"/>
  <c r="BF16" i="24" s="1"/>
  <c r="BD17" i="24"/>
  <c r="BD26" i="24"/>
  <c r="BD23" i="24"/>
  <c r="BD6" i="24"/>
  <c r="AZ18" i="24"/>
  <c r="BF18" i="24" s="1"/>
  <c r="AZ19" i="24"/>
  <c r="BF19" i="24" s="1"/>
  <c r="AZ2" i="24"/>
  <c r="BF2" i="24" s="1"/>
  <c r="BD32" i="24"/>
  <c r="BD27" i="24"/>
  <c r="BD3" i="24"/>
  <c r="BD28" i="24"/>
  <c r="BD19" i="24"/>
  <c r="BD11" i="24"/>
  <c r="BD2" i="24"/>
  <c r="BE2" i="24" s="1"/>
  <c r="BD18" i="25"/>
  <c r="BD21" i="25"/>
  <c r="BD13" i="25"/>
  <c r="BD3" i="25"/>
  <c r="BD29" i="25"/>
  <c r="BD20" i="25"/>
  <c r="BD8" i="25"/>
  <c r="BD18" i="24"/>
  <c r="BD22" i="24"/>
  <c r="BD15" i="24"/>
  <c r="BD12" i="24"/>
  <c r="BD33" i="24"/>
  <c r="BD29" i="24"/>
  <c r="BD25" i="24"/>
  <c r="BD21" i="24"/>
  <c r="BD10" i="24"/>
  <c r="BD13" i="24"/>
  <c r="BD8" i="24"/>
  <c r="BD4" i="24"/>
  <c r="BD30" i="24"/>
  <c r="BD28" i="25"/>
  <c r="BD32" i="25"/>
  <c r="BD27" i="25"/>
  <c r="BD17" i="25"/>
  <c r="BD23" i="25"/>
  <c r="BD19" i="25"/>
  <c r="BD9" i="25"/>
  <c r="BD11" i="25"/>
  <c r="BD5" i="25"/>
  <c r="BD2" i="25"/>
  <c r="BE2" i="25" s="1"/>
  <c r="BD31" i="25"/>
  <c r="BD26" i="25"/>
  <c r="BD22" i="25"/>
  <c r="BD15" i="25"/>
  <c r="BD12" i="25"/>
  <c r="AC21" i="23"/>
  <c r="AC23" i="23"/>
  <c r="AC19" i="23"/>
  <c r="AC17" i="23"/>
  <c r="AD20" i="23"/>
  <c r="AD22" i="23"/>
  <c r="AD18" i="23"/>
  <c r="AD16" i="23"/>
  <c r="BL14" i="25"/>
  <c r="AC20" i="23"/>
  <c r="AC16" i="23"/>
  <c r="AD21" i="23"/>
  <c r="AD17" i="23"/>
  <c r="AC33" i="23"/>
  <c r="AC31" i="23"/>
  <c r="P40" i="23"/>
  <c r="AD32" i="23"/>
  <c r="AD30" i="23"/>
  <c r="AC32" i="23"/>
  <c r="AC30" i="23"/>
  <c r="AD33" i="23"/>
  <c r="AD31" i="23"/>
  <c r="AC22" i="23"/>
  <c r="AC18" i="23"/>
  <c r="AD23" i="23"/>
  <c r="AD19" i="23"/>
  <c r="V48" i="23"/>
  <c r="V55" i="23"/>
  <c r="BL26" i="24"/>
  <c r="BL22" i="24"/>
  <c r="AZ5" i="24"/>
  <c r="BF5" i="24" s="1"/>
  <c r="AZ32" i="24"/>
  <c r="BF32" i="24" s="1"/>
  <c r="AZ26" i="24"/>
  <c r="BF26" i="24" s="1"/>
  <c r="AZ22" i="24"/>
  <c r="BF22" i="24" s="1"/>
  <c r="AZ15" i="24"/>
  <c r="BF15" i="24" s="1"/>
  <c r="AZ12" i="24"/>
  <c r="BF12" i="24" s="1"/>
  <c r="AZ33" i="24"/>
  <c r="BF33" i="24" s="1"/>
  <c r="AZ23" i="24"/>
  <c r="BF23" i="24" s="1"/>
  <c r="AZ9" i="24"/>
  <c r="BF9" i="24" s="1"/>
  <c r="AZ6" i="24"/>
  <c r="BF6" i="24" s="1"/>
  <c r="BL7" i="24"/>
  <c r="BL12" i="24"/>
  <c r="BL5" i="24"/>
  <c r="BL18" i="24"/>
  <c r="BL24" i="24"/>
  <c r="BL16" i="24"/>
  <c r="BL14" i="24"/>
  <c r="BM14" i="24" s="1"/>
  <c r="AZ28" i="24"/>
  <c r="BF28" i="24" s="1"/>
  <c r="AZ24" i="24"/>
  <c r="BF24" i="24" s="1"/>
  <c r="AZ20" i="24"/>
  <c r="BF20" i="24" s="1"/>
  <c r="AZ14" i="24"/>
  <c r="BF14" i="24" s="1"/>
  <c r="AZ7" i="24"/>
  <c r="BF7" i="24" s="1"/>
  <c r="AZ27" i="24"/>
  <c r="BF27" i="24" s="1"/>
  <c r="AZ17" i="24"/>
  <c r="BF17" i="24" s="1"/>
  <c r="AZ31" i="24"/>
  <c r="BF31" i="24" s="1"/>
  <c r="AZ25" i="24"/>
  <c r="BF25" i="24" s="1"/>
  <c r="AZ21" i="24"/>
  <c r="BF21" i="24" s="1"/>
  <c r="AZ10" i="24"/>
  <c r="BF10" i="24" s="1"/>
  <c r="AZ13" i="24"/>
  <c r="BF13" i="24" s="1"/>
  <c r="AZ8" i="24"/>
  <c r="BF8" i="24" s="1"/>
  <c r="AZ4" i="24"/>
  <c r="BF4" i="24" s="1"/>
  <c r="BL26" i="25"/>
  <c r="BL24" i="25"/>
  <c r="BL22" i="25"/>
  <c r="BL20" i="25"/>
  <c r="BL16" i="25"/>
  <c r="BL6" i="25"/>
  <c r="BL17" i="24"/>
  <c r="BL15" i="24"/>
  <c r="BL3" i="24"/>
  <c r="BM3" i="24" s="1"/>
  <c r="BL33" i="25"/>
  <c r="BL31" i="25"/>
  <c r="BL29" i="25"/>
  <c r="BL4" i="25"/>
  <c r="BL9" i="25"/>
  <c r="BL7" i="25"/>
  <c r="BL20" i="24"/>
  <c r="BD20" i="24"/>
  <c r="BD7" i="24"/>
  <c r="BE7" i="24" s="1"/>
  <c r="BD5" i="24"/>
  <c r="BL32" i="24"/>
  <c r="BL30" i="24"/>
  <c r="BL8" i="24"/>
  <c r="BM8" i="24" s="1"/>
  <c r="BG11" i="24"/>
  <c r="BM28" i="25"/>
  <c r="BK28" i="25"/>
  <c r="BI28" i="25"/>
  <c r="BG28" i="25"/>
  <c r="BE28" i="25"/>
  <c r="BC28" i="25"/>
  <c r="BA28" i="25"/>
  <c r="BM29" i="25"/>
  <c r="BK29" i="25"/>
  <c r="BI29" i="25"/>
  <c r="BG29" i="25"/>
  <c r="BE29" i="25"/>
  <c r="BC29" i="25"/>
  <c r="BA29" i="25"/>
  <c r="BM23" i="25"/>
  <c r="BK23" i="25"/>
  <c r="BI23" i="25"/>
  <c r="BG23" i="25"/>
  <c r="BE23" i="25"/>
  <c r="BC23" i="25"/>
  <c r="BA23" i="25"/>
  <c r="BM21" i="25"/>
  <c r="BK21" i="25"/>
  <c r="BI21" i="25"/>
  <c r="BG21" i="25"/>
  <c r="BE21" i="25"/>
  <c r="BC21" i="25"/>
  <c r="BA21" i="25"/>
  <c r="BK11" i="25"/>
  <c r="BI11" i="25"/>
  <c r="BG11" i="25"/>
  <c r="BE11" i="25"/>
  <c r="BC11" i="25"/>
  <c r="BA11" i="25"/>
  <c r="BL32" i="25"/>
  <c r="BL30" i="25"/>
  <c r="BM31" i="25"/>
  <c r="BK31" i="25"/>
  <c r="BI31" i="25"/>
  <c r="BG31" i="25"/>
  <c r="BE31" i="25"/>
  <c r="BC31" i="25"/>
  <c r="BA31" i="25"/>
  <c r="BL27" i="25"/>
  <c r="BM17" i="25"/>
  <c r="BK17" i="25"/>
  <c r="BI17" i="25"/>
  <c r="BG17" i="25"/>
  <c r="BE17" i="25"/>
  <c r="BC17" i="25"/>
  <c r="BA17" i="25"/>
  <c r="BM26" i="25"/>
  <c r="BK26" i="25"/>
  <c r="BI26" i="25"/>
  <c r="BG26" i="25"/>
  <c r="BE26" i="25"/>
  <c r="BC26" i="25"/>
  <c r="BA26" i="25"/>
  <c r="BM20" i="25"/>
  <c r="BK20" i="25"/>
  <c r="BI20" i="25"/>
  <c r="BG20" i="25"/>
  <c r="BE20" i="25"/>
  <c r="BC20" i="25"/>
  <c r="BA20" i="25"/>
  <c r="BL13" i="25"/>
  <c r="BL11" i="25"/>
  <c r="BM11" i="25" s="1"/>
  <c r="BL3" i="25"/>
  <c r="BM12" i="25"/>
  <c r="BK12" i="25"/>
  <c r="BI12" i="25"/>
  <c r="BG12" i="25"/>
  <c r="BE12" i="25"/>
  <c r="BC12" i="25"/>
  <c r="BA12" i="25"/>
  <c r="BL2" i="25"/>
  <c r="BM2" i="25" s="1"/>
  <c r="BK2" i="25"/>
  <c r="BI2" i="25"/>
  <c r="BG2" i="25"/>
  <c r="BC2" i="25"/>
  <c r="BA2" i="25"/>
  <c r="BM10" i="25"/>
  <c r="BK10" i="25"/>
  <c r="BI10" i="25"/>
  <c r="BG10" i="25"/>
  <c r="BE10" i="25"/>
  <c r="BC10" i="25"/>
  <c r="BA10" i="25"/>
  <c r="BM6" i="25"/>
  <c r="BK6" i="25"/>
  <c r="BI6" i="25"/>
  <c r="BG6" i="25"/>
  <c r="BE6" i="25"/>
  <c r="BC6" i="25"/>
  <c r="BA6" i="25"/>
  <c r="BM9" i="25"/>
  <c r="BK9" i="25"/>
  <c r="BI9" i="25"/>
  <c r="BG9" i="25"/>
  <c r="BE9" i="25"/>
  <c r="BC9" i="25"/>
  <c r="BA9" i="25"/>
  <c r="BK5" i="25"/>
  <c r="BI5" i="25"/>
  <c r="BG5" i="25"/>
  <c r="BE5" i="25"/>
  <c r="BC5" i="25"/>
  <c r="BA5" i="25"/>
  <c r="BM33" i="25"/>
  <c r="BK33" i="25"/>
  <c r="BI33" i="25"/>
  <c r="BG33" i="25"/>
  <c r="BE33" i="25"/>
  <c r="BC33" i="25"/>
  <c r="BA33" i="25"/>
  <c r="BM32" i="25"/>
  <c r="BK32" i="25"/>
  <c r="BI32" i="25"/>
  <c r="BG32" i="25"/>
  <c r="BE32" i="25"/>
  <c r="BC32" i="25"/>
  <c r="BA32" i="25"/>
  <c r="BM18" i="25"/>
  <c r="BK18" i="25"/>
  <c r="BI18" i="25"/>
  <c r="BG18" i="25"/>
  <c r="BE18" i="25"/>
  <c r="BC18" i="25"/>
  <c r="BA18" i="25"/>
  <c r="BM24" i="25"/>
  <c r="BK24" i="25"/>
  <c r="BI24" i="25"/>
  <c r="BG24" i="25"/>
  <c r="BE24" i="25"/>
  <c r="BC24" i="25"/>
  <c r="BA24" i="25"/>
  <c r="BM19" i="25"/>
  <c r="BK19" i="25"/>
  <c r="BI19" i="25"/>
  <c r="BG19" i="25"/>
  <c r="BE19" i="25"/>
  <c r="BC19" i="25"/>
  <c r="BA19" i="25"/>
  <c r="BM15" i="25"/>
  <c r="BK15" i="25"/>
  <c r="BI15" i="25"/>
  <c r="BG15" i="25"/>
  <c r="BE15" i="25"/>
  <c r="BC15" i="25"/>
  <c r="BA15" i="25"/>
  <c r="BM13" i="25"/>
  <c r="BK13" i="25"/>
  <c r="BI13" i="25"/>
  <c r="BG13" i="25"/>
  <c r="BE13" i="25"/>
  <c r="BC13" i="25"/>
  <c r="BA13" i="25"/>
  <c r="BM30" i="25"/>
  <c r="BK30" i="25"/>
  <c r="BI30" i="25"/>
  <c r="BG30" i="25"/>
  <c r="BE30" i="25"/>
  <c r="BC30" i="25"/>
  <c r="BA30" i="25"/>
  <c r="BL25" i="25"/>
  <c r="BL23" i="25"/>
  <c r="BL21" i="25"/>
  <c r="BL19" i="25"/>
  <c r="BM25" i="25"/>
  <c r="BK25" i="25"/>
  <c r="BI25" i="25"/>
  <c r="BG25" i="25"/>
  <c r="BE25" i="25"/>
  <c r="BC25" i="25"/>
  <c r="BA25" i="25"/>
  <c r="BM16" i="25"/>
  <c r="BK16" i="25"/>
  <c r="BI16" i="25"/>
  <c r="BG16" i="25"/>
  <c r="BE16" i="25"/>
  <c r="BC16" i="25"/>
  <c r="BA16" i="25"/>
  <c r="BL28" i="25"/>
  <c r="BM22" i="25"/>
  <c r="BK22" i="25"/>
  <c r="BI22" i="25"/>
  <c r="BG22" i="25"/>
  <c r="BE22" i="25"/>
  <c r="BC22" i="25"/>
  <c r="BA22" i="25"/>
  <c r="BL5" i="25"/>
  <c r="BM5" i="25" s="1"/>
  <c r="BM14" i="25"/>
  <c r="BK14" i="25"/>
  <c r="BI14" i="25"/>
  <c r="BG14" i="25"/>
  <c r="BE14" i="25"/>
  <c r="BC14" i="25"/>
  <c r="BA14" i="25"/>
  <c r="BM8" i="25"/>
  <c r="BK8" i="25"/>
  <c r="BI8" i="25"/>
  <c r="BG8" i="25"/>
  <c r="BE8" i="25"/>
  <c r="BC8" i="25"/>
  <c r="BA8" i="25"/>
  <c r="BM4" i="25"/>
  <c r="BK4" i="25"/>
  <c r="BI4" i="25"/>
  <c r="BG4" i="25"/>
  <c r="BE4" i="25"/>
  <c r="BC4" i="25"/>
  <c r="BA4" i="25"/>
  <c r="BM27" i="25"/>
  <c r="BK27" i="25"/>
  <c r="BI27" i="25"/>
  <c r="BG27" i="25"/>
  <c r="BE27" i="25"/>
  <c r="BC27" i="25"/>
  <c r="BA27" i="25"/>
  <c r="BM7" i="25"/>
  <c r="BK7" i="25"/>
  <c r="BI7" i="25"/>
  <c r="BG7" i="25"/>
  <c r="BE7" i="25"/>
  <c r="BC7" i="25"/>
  <c r="BA7" i="25"/>
  <c r="BM3" i="25"/>
  <c r="BK3" i="25"/>
  <c r="BI3" i="25"/>
  <c r="BG3" i="25"/>
  <c r="BE3" i="25"/>
  <c r="BC3" i="25"/>
  <c r="BA3" i="25"/>
  <c r="BC11" i="24"/>
  <c r="BK11" i="24"/>
  <c r="BA11" i="24"/>
  <c r="BE11" i="24"/>
  <c r="BI11" i="24"/>
  <c r="BL10" i="24"/>
  <c r="BM30" i="24"/>
  <c r="BK30" i="24"/>
  <c r="BI30" i="24"/>
  <c r="BG30" i="24"/>
  <c r="BE30" i="24"/>
  <c r="BC30" i="24"/>
  <c r="BA30" i="24"/>
  <c r="BM18" i="24"/>
  <c r="BK18" i="24"/>
  <c r="BI18" i="24"/>
  <c r="BG18" i="24"/>
  <c r="BE18" i="24"/>
  <c r="BC18" i="24"/>
  <c r="BA18" i="24"/>
  <c r="BM24" i="24"/>
  <c r="BK24" i="24"/>
  <c r="BI24" i="24"/>
  <c r="BG24" i="24"/>
  <c r="BE24" i="24"/>
  <c r="BC24" i="24"/>
  <c r="BA24" i="24"/>
  <c r="BM19" i="24"/>
  <c r="BK19" i="24"/>
  <c r="BI19" i="24"/>
  <c r="BG19" i="24"/>
  <c r="BE19" i="24"/>
  <c r="BC19" i="24"/>
  <c r="BA19" i="24"/>
  <c r="BM15" i="24"/>
  <c r="BK15" i="24"/>
  <c r="BI15" i="24"/>
  <c r="BG15" i="24"/>
  <c r="BE15" i="24"/>
  <c r="BC15" i="24"/>
  <c r="BA15" i="24"/>
  <c r="BK14" i="24"/>
  <c r="BI14" i="24"/>
  <c r="BG14" i="24"/>
  <c r="BE14" i="24"/>
  <c r="BC14" i="24"/>
  <c r="BK2" i="24"/>
  <c r="BI2" i="24"/>
  <c r="BG2" i="24"/>
  <c r="BC2" i="24"/>
  <c r="BA2" i="24"/>
  <c r="BK9" i="24"/>
  <c r="BI9" i="24"/>
  <c r="BG9" i="24"/>
  <c r="BE9" i="24"/>
  <c r="BC9" i="24"/>
  <c r="BA9" i="24"/>
  <c r="BM5" i="24"/>
  <c r="BK5" i="24"/>
  <c r="BI5" i="24"/>
  <c r="BG5" i="24"/>
  <c r="BE5" i="24"/>
  <c r="BC5" i="24"/>
  <c r="BA5" i="24"/>
  <c r="BL25" i="24"/>
  <c r="BL21" i="24"/>
  <c r="BM16" i="24"/>
  <c r="BK16" i="24"/>
  <c r="BI16" i="24"/>
  <c r="BG16" i="24"/>
  <c r="BE16" i="24"/>
  <c r="BC16" i="24"/>
  <c r="BA16" i="24"/>
  <c r="BL9" i="24"/>
  <c r="BM9" i="24" s="1"/>
  <c r="BM22" i="24"/>
  <c r="BK22" i="24"/>
  <c r="BI22" i="24"/>
  <c r="BG22" i="24"/>
  <c r="BE22" i="24"/>
  <c r="BC22" i="24"/>
  <c r="BA22" i="24"/>
  <c r="BL11" i="24"/>
  <c r="BM11" i="24" s="1"/>
  <c r="BL2" i="24"/>
  <c r="BM2" i="24" s="1"/>
  <c r="BK8" i="24"/>
  <c r="BI8" i="24"/>
  <c r="BG8" i="24"/>
  <c r="BE8" i="24"/>
  <c r="BC8" i="24"/>
  <c r="BA8" i="24"/>
  <c r="BK4" i="24"/>
  <c r="BI4" i="24"/>
  <c r="BG4" i="24"/>
  <c r="BE4" i="24"/>
  <c r="BC4" i="24"/>
  <c r="BM33" i="24"/>
  <c r="BK33" i="24"/>
  <c r="BI33" i="24"/>
  <c r="BG33" i="24"/>
  <c r="BE33" i="24"/>
  <c r="BC33" i="24"/>
  <c r="BA33" i="24"/>
  <c r="BM17" i="24"/>
  <c r="BK17" i="24"/>
  <c r="BI17" i="24"/>
  <c r="BG17" i="24"/>
  <c r="BE17" i="24"/>
  <c r="BC17" i="24"/>
  <c r="BA17" i="24"/>
  <c r="BM20" i="24"/>
  <c r="BK20" i="24"/>
  <c r="BI20" i="24"/>
  <c r="BG20" i="24"/>
  <c r="BE20" i="24"/>
  <c r="BC20" i="24"/>
  <c r="BA20" i="24"/>
  <c r="BL13" i="24"/>
  <c r="BM31" i="24"/>
  <c r="BK31" i="24"/>
  <c r="BI31" i="24"/>
  <c r="BG31" i="24"/>
  <c r="BE31" i="24"/>
  <c r="BC31" i="24"/>
  <c r="BA31" i="24"/>
  <c r="BM27" i="24"/>
  <c r="BK27" i="24"/>
  <c r="BI27" i="24"/>
  <c r="BG27" i="24"/>
  <c r="BE27" i="24"/>
  <c r="BC27" i="24"/>
  <c r="BA27" i="24"/>
  <c r="BM23" i="24"/>
  <c r="BK23" i="24"/>
  <c r="BI23" i="24"/>
  <c r="BG23" i="24"/>
  <c r="BE23" i="24"/>
  <c r="BC23" i="24"/>
  <c r="BA23" i="24"/>
  <c r="BM21" i="24"/>
  <c r="BK21" i="24"/>
  <c r="BI21" i="24"/>
  <c r="BG21" i="24"/>
  <c r="BE21" i="24"/>
  <c r="BC21" i="24"/>
  <c r="BA21" i="24"/>
  <c r="BM12" i="24"/>
  <c r="BK12" i="24"/>
  <c r="BI12" i="24"/>
  <c r="BG12" i="24"/>
  <c r="BE12" i="24"/>
  <c r="BC12" i="24"/>
  <c r="BA12" i="24"/>
  <c r="BM7" i="24"/>
  <c r="BK7" i="24"/>
  <c r="BI7" i="24"/>
  <c r="BG7" i="24"/>
  <c r="BC7" i="24"/>
  <c r="BA7" i="24"/>
  <c r="BK3" i="24"/>
  <c r="BI3" i="24"/>
  <c r="BG3" i="24"/>
  <c r="BE3" i="24"/>
  <c r="BC3" i="24"/>
  <c r="BA3" i="24"/>
  <c r="BL31" i="24"/>
  <c r="BM32" i="24"/>
  <c r="BK32" i="24"/>
  <c r="BI32" i="24"/>
  <c r="BG32" i="24"/>
  <c r="BE32" i="24"/>
  <c r="BC32" i="24"/>
  <c r="BA32" i="24"/>
  <c r="BM25" i="24"/>
  <c r="BK25" i="24"/>
  <c r="BI25" i="24"/>
  <c r="BG25" i="24"/>
  <c r="BE25" i="24"/>
  <c r="BC25" i="24"/>
  <c r="BA25" i="24"/>
  <c r="BL28" i="24"/>
  <c r="BM13" i="24"/>
  <c r="BK13" i="24"/>
  <c r="BI13" i="24"/>
  <c r="BG13" i="24"/>
  <c r="BE13" i="24"/>
  <c r="BC13" i="24"/>
  <c r="BA13" i="24"/>
  <c r="BM10" i="24"/>
  <c r="BK10" i="24"/>
  <c r="BI10" i="24"/>
  <c r="BG10" i="24"/>
  <c r="BE10" i="24"/>
  <c r="BC10" i="24"/>
  <c r="BA10" i="24"/>
  <c r="BK6" i="24"/>
  <c r="BI6" i="24"/>
  <c r="BG6" i="24"/>
  <c r="BE6" i="24"/>
  <c r="BC6" i="24"/>
  <c r="BA6" i="24"/>
  <c r="BL33" i="24"/>
  <c r="BL29" i="24"/>
  <c r="BM28" i="24"/>
  <c r="BK28" i="24"/>
  <c r="BI28" i="24"/>
  <c r="BG28" i="24"/>
  <c r="BE28" i="24"/>
  <c r="BC28" i="24"/>
  <c r="BA28" i="24"/>
  <c r="BM29" i="24"/>
  <c r="BK29" i="24"/>
  <c r="BI29" i="24"/>
  <c r="BG29" i="24"/>
  <c r="BE29" i="24"/>
  <c r="BC29" i="24"/>
  <c r="BA29" i="24"/>
  <c r="BL23" i="24"/>
  <c r="BL19" i="24"/>
  <c r="BM26" i="24"/>
  <c r="BK26" i="24"/>
  <c r="BI26" i="24"/>
  <c r="BG26" i="24"/>
  <c r="BE26" i="24"/>
  <c r="BC26" i="24"/>
  <c r="BA26" i="24"/>
  <c r="BL6" i="24"/>
  <c r="BM6" i="24" s="1"/>
  <c r="BL4" i="24"/>
  <c r="BM4" i="24" s="1"/>
  <c r="BA4" i="24" l="1"/>
  <c r="AC34" i="23"/>
  <c r="AD24" i="23"/>
  <c r="AD34" i="23"/>
  <c r="AC40" i="23"/>
  <c r="P48" i="23"/>
  <c r="AD40" i="23"/>
  <c r="AC41" i="23"/>
  <c r="P55" i="23"/>
  <c r="AD41" i="23"/>
  <c r="AC24" i="23"/>
  <c r="BA14" i="24"/>
  <c r="AD55" i="23" l="1"/>
  <c r="AC55" i="23"/>
  <c r="AD42" i="23"/>
  <c r="AC42" i="23"/>
  <c r="AH23" i="21" l="1"/>
  <c r="AE11" i="24" s="1"/>
  <c r="AG23" i="21"/>
  <c r="AD11" i="24" s="1"/>
  <c r="AH22" i="21"/>
  <c r="AE10" i="24" s="1"/>
  <c r="AG22" i="21"/>
  <c r="AD10" i="24" s="1"/>
  <c r="AH21" i="21"/>
  <c r="AE9" i="24" s="1"/>
  <c r="AG21" i="21"/>
  <c r="AD9" i="24" s="1"/>
  <c r="AH20" i="21"/>
  <c r="AE8" i="24" s="1"/>
  <c r="AG20" i="21"/>
  <c r="AD8" i="24" s="1"/>
  <c r="AH19" i="21"/>
  <c r="AE7" i="24" s="1"/>
  <c r="AG19" i="21"/>
  <c r="AD7" i="24" s="1"/>
  <c r="AH18" i="21"/>
  <c r="AE6" i="24" s="1"/>
  <c r="AG18" i="21"/>
  <c r="AD6" i="24" s="1"/>
  <c r="AH17" i="21"/>
  <c r="AE5" i="24" s="1"/>
  <c r="AG17" i="21"/>
  <c r="AD5" i="24" s="1"/>
  <c r="AH16" i="21"/>
  <c r="AE4" i="24" s="1"/>
  <c r="AG16" i="21"/>
  <c r="AD4" i="24" s="1"/>
  <c r="K98" i="21"/>
  <c r="J98" i="21"/>
  <c r="K97" i="21"/>
  <c r="J97" i="21"/>
  <c r="K96" i="21"/>
  <c r="J96" i="21"/>
  <c r="K95" i="21"/>
  <c r="J95" i="21"/>
  <c r="K94" i="21"/>
  <c r="J94" i="21"/>
  <c r="K93" i="21"/>
  <c r="K99" i="21" s="1"/>
  <c r="J93" i="21"/>
  <c r="J99" i="21" s="1"/>
  <c r="J100" i="21" s="1"/>
  <c r="K87" i="21"/>
  <c r="J87" i="21"/>
  <c r="K86" i="21"/>
  <c r="J86" i="21"/>
  <c r="K85" i="21"/>
  <c r="J85" i="21"/>
  <c r="K84" i="21"/>
  <c r="J84" i="21"/>
  <c r="K83" i="21"/>
  <c r="J83" i="21"/>
  <c r="K82" i="21"/>
  <c r="K88" i="21" s="1"/>
  <c r="J82" i="21"/>
  <c r="J88" i="21" s="1"/>
  <c r="K76" i="21"/>
  <c r="J76" i="21"/>
  <c r="K75" i="21"/>
  <c r="J75" i="21"/>
  <c r="K74" i="21"/>
  <c r="J74" i="21"/>
  <c r="K73" i="21"/>
  <c r="J73" i="21"/>
  <c r="K72" i="21"/>
  <c r="J72" i="21"/>
  <c r="K71" i="21"/>
  <c r="K77" i="21" s="1"/>
  <c r="J71" i="21"/>
  <c r="J77" i="21" s="1"/>
  <c r="K65" i="21"/>
  <c r="J65" i="21"/>
  <c r="K64" i="21"/>
  <c r="J64" i="21"/>
  <c r="K63" i="21"/>
  <c r="J63" i="21"/>
  <c r="K62" i="21"/>
  <c r="J62" i="21"/>
  <c r="K61" i="21"/>
  <c r="J61" i="21"/>
  <c r="K60" i="21"/>
  <c r="K66" i="21" s="1"/>
  <c r="J60" i="21"/>
  <c r="J66" i="21" s="1"/>
  <c r="K54" i="21"/>
  <c r="J54" i="21"/>
  <c r="K53" i="21"/>
  <c r="J53" i="21"/>
  <c r="K52" i="21"/>
  <c r="J52" i="21"/>
  <c r="K51" i="21"/>
  <c r="J51" i="21"/>
  <c r="K50" i="21"/>
  <c r="J50" i="21"/>
  <c r="K49" i="21"/>
  <c r="K55" i="21" s="1"/>
  <c r="J49" i="21"/>
  <c r="J55" i="21" s="1"/>
  <c r="K43" i="21"/>
  <c r="J43" i="21"/>
  <c r="K42" i="21"/>
  <c r="J42" i="21"/>
  <c r="K41" i="21"/>
  <c r="J41" i="21"/>
  <c r="K40" i="21"/>
  <c r="J40" i="21"/>
  <c r="K39" i="21"/>
  <c r="J39" i="21"/>
  <c r="K38" i="21"/>
  <c r="K44" i="21" s="1"/>
  <c r="J38" i="21"/>
  <c r="J44" i="21" s="1"/>
  <c r="K32" i="21"/>
  <c r="J32" i="21"/>
  <c r="K31" i="21"/>
  <c r="J31" i="21"/>
  <c r="K30" i="21"/>
  <c r="J30" i="21"/>
  <c r="K29" i="21"/>
  <c r="J29" i="21"/>
  <c r="K28" i="21"/>
  <c r="J28" i="21"/>
  <c r="K27" i="21"/>
  <c r="K33" i="21" s="1"/>
  <c r="J27" i="21"/>
  <c r="K17" i="21"/>
  <c r="K18" i="21"/>
  <c r="K19" i="21"/>
  <c r="K20" i="21"/>
  <c r="K21" i="21"/>
  <c r="K16" i="21"/>
  <c r="J17" i="21"/>
  <c r="J18" i="21"/>
  <c r="J19" i="21"/>
  <c r="J20" i="21"/>
  <c r="J21" i="21"/>
  <c r="J16" i="21"/>
  <c r="S5" i="23"/>
  <c r="J9" i="23"/>
  <c r="J22" i="23"/>
  <c r="K22" i="23"/>
  <c r="J6" i="23"/>
  <c r="J33" i="23"/>
  <c r="K33" i="23"/>
  <c r="J7" i="23"/>
  <c r="J8" i="23"/>
  <c r="J44" i="23"/>
  <c r="K44" i="23"/>
  <c r="J55" i="23"/>
  <c r="K55" i="23"/>
  <c r="J66" i="23"/>
  <c r="K66" i="23"/>
  <c r="J77" i="23"/>
  <c r="K77" i="23"/>
  <c r="J78" i="23"/>
  <c r="J88" i="23"/>
  <c r="K88" i="23"/>
  <c r="J89" i="23" s="1"/>
  <c r="J99" i="23"/>
  <c r="K99" i="23"/>
  <c r="J100" i="23" s="1"/>
  <c r="J34" i="23" l="1"/>
  <c r="J67" i="21"/>
  <c r="J78" i="21"/>
  <c r="J89" i="21"/>
  <c r="J3" i="23"/>
  <c r="J67" i="23"/>
  <c r="J56" i="23"/>
  <c r="J45" i="23"/>
  <c r="J23" i="23"/>
  <c r="J2" i="23"/>
  <c r="J56" i="21"/>
  <c r="J33" i="21"/>
  <c r="J34" i="21" s="1"/>
  <c r="K22" i="21"/>
  <c r="J3" i="21" s="1"/>
  <c r="J45" i="21"/>
  <c r="J22" i="21"/>
  <c r="J23" i="21" s="1"/>
  <c r="S5" i="21"/>
  <c r="J9" i="21"/>
  <c r="L4" i="10"/>
  <c r="M4" i="10"/>
  <c r="R24" i="2"/>
  <c r="Q24" i="2"/>
  <c r="AR1" i="18"/>
  <c r="J2" i="21" l="1"/>
  <c r="G18" i="15"/>
  <c r="I16" i="15"/>
  <c r="I17" i="15"/>
  <c r="E8" i="20"/>
  <c r="E10" i="20"/>
  <c r="S5" i="15"/>
  <c r="Z48" i="20"/>
  <c r="AA48" i="15"/>
  <c r="AF18" i="18" s="1"/>
  <c r="Y48" i="15"/>
  <c r="AC18" i="18" s="1"/>
  <c r="AV18" i="18" s="1"/>
  <c r="AA41" i="15"/>
  <c r="AF17" i="18" s="1"/>
  <c r="Y41" i="15"/>
  <c r="Q40" i="20"/>
  <c r="L65" i="20"/>
  <c r="AA31" i="15"/>
  <c r="AF13" i="18" s="1"/>
  <c r="Y33" i="15"/>
  <c r="AC15" i="18" s="1"/>
  <c r="J55" i="20"/>
  <c r="J45" i="20"/>
  <c r="AA30" i="15"/>
  <c r="AF12" i="18" s="1"/>
  <c r="AW12" i="18" s="1"/>
  <c r="Y23" i="15"/>
  <c r="AC11" i="18" s="1"/>
  <c r="E63" i="20"/>
  <c r="Y22" i="15"/>
  <c r="AC10" i="18" s="1"/>
  <c r="Y21" i="15"/>
  <c r="AC9" i="18" s="1"/>
  <c r="E43" i="20"/>
  <c r="AA19" i="15"/>
  <c r="AF7" i="18" s="1"/>
  <c r="C58" i="20"/>
  <c r="E53" i="20"/>
  <c r="Y18" i="15"/>
  <c r="AC6" i="18" s="1"/>
  <c r="Y16" i="15"/>
  <c r="AC4" i="18" s="1"/>
  <c r="I98" i="15"/>
  <c r="G98" i="15"/>
  <c r="X26" i="20"/>
  <c r="I96" i="15"/>
  <c r="X24" i="20"/>
  <c r="G95" i="15"/>
  <c r="G94" i="15"/>
  <c r="Z18" i="20"/>
  <c r="X18" i="20"/>
  <c r="Q26" i="20"/>
  <c r="G85" i="15"/>
  <c r="I84" i="15"/>
  <c r="Q22" i="20"/>
  <c r="I83" i="15"/>
  <c r="S18" i="20"/>
  <c r="Q18" i="20"/>
  <c r="L28" i="20"/>
  <c r="J28" i="20"/>
  <c r="I75" i="15"/>
  <c r="G75" i="15"/>
  <c r="I74" i="15"/>
  <c r="J24" i="20"/>
  <c r="L22" i="20"/>
  <c r="G73" i="15"/>
  <c r="G72" i="15"/>
  <c r="C28" i="20"/>
  <c r="C26" i="20"/>
  <c r="G63" i="15"/>
  <c r="I61" i="15"/>
  <c r="E18" i="20"/>
  <c r="I54" i="15"/>
  <c r="G54" i="15"/>
  <c r="I53" i="15"/>
  <c r="X12" i="20"/>
  <c r="G52" i="15"/>
  <c r="G51" i="15"/>
  <c r="Z6" i="20"/>
  <c r="X6" i="20"/>
  <c r="X4" i="20"/>
  <c r="S14" i="20"/>
  <c r="G43" i="15"/>
  <c r="I42" i="15"/>
  <c r="G42" i="15"/>
  <c r="I41" i="15"/>
  <c r="I40" i="15"/>
  <c r="I39" i="15"/>
  <c r="S4" i="20"/>
  <c r="Q4" i="20"/>
  <c r="L14" i="20"/>
  <c r="G31" i="15"/>
  <c r="G30" i="15"/>
  <c r="I29" i="15"/>
  <c r="L6" i="20"/>
  <c r="I27" i="15"/>
  <c r="I21" i="15"/>
  <c r="G21" i="15"/>
  <c r="G20" i="15"/>
  <c r="C10" i="20"/>
  <c r="G19" i="15"/>
  <c r="Z19" i="18"/>
  <c r="Y19" i="18"/>
  <c r="X19" i="18"/>
  <c r="W19" i="18"/>
  <c r="Z18" i="18"/>
  <c r="Y18" i="18"/>
  <c r="X18" i="18"/>
  <c r="W18" i="18"/>
  <c r="Z17" i="18"/>
  <c r="Y17" i="18"/>
  <c r="X17" i="18"/>
  <c r="W17" i="18"/>
  <c r="Z16" i="18"/>
  <c r="Y16" i="18"/>
  <c r="X16" i="18"/>
  <c r="W16" i="18"/>
  <c r="Z15" i="18"/>
  <c r="Y15" i="18"/>
  <c r="X15" i="18"/>
  <c r="W15" i="18"/>
  <c r="Z14" i="18"/>
  <c r="Y14" i="18"/>
  <c r="X14" i="18"/>
  <c r="W14" i="18"/>
  <c r="Z13" i="18"/>
  <c r="Y13" i="18"/>
  <c r="X13" i="18"/>
  <c r="W13" i="18"/>
  <c r="Z12" i="18"/>
  <c r="Y12" i="18"/>
  <c r="X12" i="18"/>
  <c r="W12" i="18"/>
  <c r="Z11" i="18"/>
  <c r="Y11" i="18"/>
  <c r="X11" i="18"/>
  <c r="W11" i="18"/>
  <c r="Z10" i="18"/>
  <c r="Y10" i="18"/>
  <c r="X10" i="18"/>
  <c r="W10" i="18"/>
  <c r="Z9" i="18"/>
  <c r="Y9" i="18"/>
  <c r="X9" i="18"/>
  <c r="W9" i="18"/>
  <c r="Z8" i="18"/>
  <c r="Y8" i="18"/>
  <c r="X8" i="18"/>
  <c r="W8" i="18"/>
  <c r="Z7" i="18"/>
  <c r="Y7" i="18"/>
  <c r="X7" i="18"/>
  <c r="W7" i="18"/>
  <c r="Z6" i="18"/>
  <c r="Y6" i="18"/>
  <c r="X6" i="18"/>
  <c r="W6" i="18"/>
  <c r="Z5" i="18"/>
  <c r="Y5" i="18"/>
  <c r="X5" i="18"/>
  <c r="W5" i="18"/>
  <c r="Z4" i="18"/>
  <c r="Y4" i="18"/>
  <c r="X4" i="18"/>
  <c r="W4" i="18"/>
  <c r="D63" i="18"/>
  <c r="B63" i="18"/>
  <c r="H62" i="18"/>
  <c r="D62" i="18"/>
  <c r="B62" i="18"/>
  <c r="H61" i="18"/>
  <c r="D61" i="18"/>
  <c r="B61" i="18"/>
  <c r="H60" i="18"/>
  <c r="D60" i="18"/>
  <c r="B60" i="18"/>
  <c r="H59" i="18"/>
  <c r="D59" i="18"/>
  <c r="B59" i="18"/>
  <c r="D58" i="18"/>
  <c r="B58" i="18"/>
  <c r="D55" i="18"/>
  <c r="B55" i="18"/>
  <c r="H54" i="18"/>
  <c r="D54" i="18"/>
  <c r="B54" i="18"/>
  <c r="H53" i="18"/>
  <c r="D53" i="18"/>
  <c r="B53" i="18"/>
  <c r="H52" i="18"/>
  <c r="D52" i="18"/>
  <c r="B52" i="18"/>
  <c r="H51" i="18"/>
  <c r="D51" i="18"/>
  <c r="B51" i="18"/>
  <c r="D50" i="18"/>
  <c r="B50" i="18"/>
  <c r="D47" i="18"/>
  <c r="B47" i="18"/>
  <c r="H46" i="18"/>
  <c r="D46" i="18"/>
  <c r="B46" i="18"/>
  <c r="H45" i="18"/>
  <c r="D45" i="18"/>
  <c r="B45" i="18"/>
  <c r="H44" i="18"/>
  <c r="D44" i="18"/>
  <c r="B44" i="18"/>
  <c r="H43" i="18"/>
  <c r="D43" i="18"/>
  <c r="B43" i="18"/>
  <c r="D42" i="18"/>
  <c r="B42" i="18"/>
  <c r="D39" i="18"/>
  <c r="B39" i="18"/>
  <c r="H38" i="18"/>
  <c r="D38" i="18"/>
  <c r="B38" i="18"/>
  <c r="H37" i="18"/>
  <c r="D37" i="18"/>
  <c r="B37" i="18"/>
  <c r="H36" i="18"/>
  <c r="D36" i="18"/>
  <c r="B36" i="18"/>
  <c r="H35" i="18"/>
  <c r="D35" i="18"/>
  <c r="B35" i="18"/>
  <c r="D34" i="18"/>
  <c r="B34" i="18"/>
  <c r="D31" i="18"/>
  <c r="B31" i="18"/>
  <c r="H30" i="18"/>
  <c r="D30" i="18"/>
  <c r="B30" i="18"/>
  <c r="H29" i="18"/>
  <c r="D29" i="18"/>
  <c r="B29" i="18"/>
  <c r="H28" i="18"/>
  <c r="D28" i="18"/>
  <c r="B28" i="18"/>
  <c r="H27" i="18"/>
  <c r="D27" i="18"/>
  <c r="B27" i="18"/>
  <c r="D26" i="18"/>
  <c r="B26" i="18"/>
  <c r="D23" i="18"/>
  <c r="B23" i="18"/>
  <c r="H22" i="18"/>
  <c r="D22" i="18"/>
  <c r="B22" i="18"/>
  <c r="H21" i="18"/>
  <c r="D21" i="18"/>
  <c r="B21" i="18"/>
  <c r="H20" i="18"/>
  <c r="D20" i="18"/>
  <c r="B20" i="18"/>
  <c r="H19" i="18"/>
  <c r="D19" i="18"/>
  <c r="B19" i="18"/>
  <c r="D18" i="18"/>
  <c r="B18" i="18"/>
  <c r="D15" i="18"/>
  <c r="B15" i="18"/>
  <c r="H14" i="18"/>
  <c r="D14" i="18"/>
  <c r="B14" i="18"/>
  <c r="H13" i="18"/>
  <c r="D13" i="18"/>
  <c r="B13" i="18"/>
  <c r="H12" i="18"/>
  <c r="D12" i="18"/>
  <c r="B12" i="18"/>
  <c r="H11" i="18"/>
  <c r="D11" i="18"/>
  <c r="B11" i="18"/>
  <c r="D10" i="18"/>
  <c r="B10" i="18"/>
  <c r="D7" i="18"/>
  <c r="B7" i="18"/>
  <c r="H6" i="18"/>
  <c r="D6" i="18"/>
  <c r="B6" i="18"/>
  <c r="H5" i="18"/>
  <c r="D5" i="18"/>
  <c r="B5" i="18"/>
  <c r="H4" i="18"/>
  <c r="D4" i="18"/>
  <c r="B4" i="18"/>
  <c r="H3" i="18"/>
  <c r="D3" i="18"/>
  <c r="B3" i="18"/>
  <c r="D2" i="18"/>
  <c r="B2" i="18"/>
  <c r="B3" i="17"/>
  <c r="AX33" i="18"/>
  <c r="AX32" i="18"/>
  <c r="AX31" i="18"/>
  <c r="AX30" i="18"/>
  <c r="AX29" i="18"/>
  <c r="AX28" i="18"/>
  <c r="AX27" i="18"/>
  <c r="AX26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X4" i="18"/>
  <c r="AX3" i="18"/>
  <c r="AX2" i="18"/>
  <c r="B16" i="13"/>
  <c r="B9" i="13"/>
  <c r="B12" i="12"/>
  <c r="B8" i="12"/>
  <c r="B20" i="11"/>
  <c r="B16" i="11"/>
  <c r="B12" i="11"/>
  <c r="B8" i="11"/>
  <c r="B36" i="10"/>
  <c r="B32" i="10"/>
  <c r="B28" i="10"/>
  <c r="B24" i="10"/>
  <c r="B20" i="10"/>
  <c r="B16" i="10"/>
  <c r="B12" i="10"/>
  <c r="B8" i="10"/>
  <c r="G11" i="9"/>
  <c r="F11" i="9"/>
  <c r="AA28" i="20" s="1"/>
  <c r="G10" i="9"/>
  <c r="F10" i="9"/>
  <c r="F97" i="15" s="1"/>
  <c r="G9" i="9"/>
  <c r="F9" i="9"/>
  <c r="F96" i="15" s="1"/>
  <c r="G8" i="9"/>
  <c r="F8" i="9"/>
  <c r="F95" i="15" s="1"/>
  <c r="G7" i="9"/>
  <c r="F7" i="9"/>
  <c r="F94" i="15" s="1"/>
  <c r="G6" i="9"/>
  <c r="F6" i="9"/>
  <c r="F93" i="15" s="1"/>
  <c r="E58" i="24" s="1"/>
  <c r="G60" i="24" s="1"/>
  <c r="B11" i="9"/>
  <c r="W28" i="20" s="1"/>
  <c r="B10" i="9"/>
  <c r="B97" i="15" s="1"/>
  <c r="B9" i="9"/>
  <c r="B96" i="15" s="1"/>
  <c r="B8" i="9"/>
  <c r="W22" i="20" s="1"/>
  <c r="B7" i="9"/>
  <c r="B94" i="15" s="1"/>
  <c r="B6" i="9"/>
  <c r="B93" i="15" s="1"/>
  <c r="A58" i="24" s="1"/>
  <c r="G59" i="24" s="1"/>
  <c r="G11" i="8"/>
  <c r="F11" i="8"/>
  <c r="T28" i="20" s="1"/>
  <c r="G10" i="8"/>
  <c r="F10" i="8"/>
  <c r="T26" i="20" s="1"/>
  <c r="G9" i="8"/>
  <c r="F9" i="8"/>
  <c r="T24" i="20" s="1"/>
  <c r="G8" i="8"/>
  <c r="F8" i="8"/>
  <c r="F84" i="15" s="1"/>
  <c r="G7" i="8"/>
  <c r="F7" i="8"/>
  <c r="T20" i="20" s="1"/>
  <c r="G6" i="8"/>
  <c r="F6" i="8"/>
  <c r="T18" i="20" s="1"/>
  <c r="B11" i="8"/>
  <c r="P28" i="20" s="1"/>
  <c r="B10" i="8"/>
  <c r="P26" i="20" s="1"/>
  <c r="B9" i="8"/>
  <c r="B85" i="15" s="1"/>
  <c r="B8" i="8"/>
  <c r="B84" i="15" s="1"/>
  <c r="B7" i="8"/>
  <c r="P20" i="20" s="1"/>
  <c r="B6" i="8"/>
  <c r="B82" i="15" s="1"/>
  <c r="G11" i="7"/>
  <c r="F11" i="7"/>
  <c r="F76" i="15" s="1"/>
  <c r="G10" i="7"/>
  <c r="F10" i="7"/>
  <c r="M26" i="20" s="1"/>
  <c r="G9" i="7"/>
  <c r="F9" i="7"/>
  <c r="F74" i="15" s="1"/>
  <c r="G8" i="7"/>
  <c r="F8" i="7"/>
  <c r="F73" i="15" s="1"/>
  <c r="G7" i="7"/>
  <c r="F7" i="7"/>
  <c r="F72" i="15" s="1"/>
  <c r="G6" i="7"/>
  <c r="F6" i="7"/>
  <c r="M18" i="20" s="1"/>
  <c r="B11" i="7"/>
  <c r="B76" i="15" s="1"/>
  <c r="B10" i="7"/>
  <c r="B75" i="15" s="1"/>
  <c r="B9" i="7"/>
  <c r="B74" i="15" s="1"/>
  <c r="B8" i="7"/>
  <c r="B73" i="15" s="1"/>
  <c r="B7" i="7"/>
  <c r="B72" i="15" s="1"/>
  <c r="A43" i="24" s="1"/>
  <c r="G45" i="24" s="1"/>
  <c r="B6" i="7"/>
  <c r="B71" i="15" s="1"/>
  <c r="A42" i="24" s="1"/>
  <c r="G43" i="24" s="1"/>
  <c r="G11" i="6"/>
  <c r="F11" i="6"/>
  <c r="F65" i="15" s="1"/>
  <c r="G10" i="6"/>
  <c r="F10" i="6"/>
  <c r="F26" i="20" s="1"/>
  <c r="G9" i="6"/>
  <c r="F9" i="6"/>
  <c r="F24" i="20" s="1"/>
  <c r="G8" i="6"/>
  <c r="F8" i="6"/>
  <c r="F62" i="15" s="1"/>
  <c r="G7" i="6"/>
  <c r="F7" i="6"/>
  <c r="F61" i="15" s="1"/>
  <c r="E35" i="24" s="1"/>
  <c r="G38" i="24" s="1"/>
  <c r="G6" i="6"/>
  <c r="F6" i="6"/>
  <c r="F60" i="15" s="1"/>
  <c r="B11" i="6"/>
  <c r="B28" i="20" s="1"/>
  <c r="B10" i="6"/>
  <c r="B26" i="20" s="1"/>
  <c r="B9" i="6"/>
  <c r="B24" i="20" s="1"/>
  <c r="B8" i="6"/>
  <c r="B62" i="15" s="1"/>
  <c r="B7" i="6"/>
  <c r="B61" i="15" s="1"/>
  <c r="A35" i="24" s="1"/>
  <c r="G37" i="24" s="1"/>
  <c r="B6" i="6"/>
  <c r="B60" i="15" s="1"/>
  <c r="A34" i="24" s="1"/>
  <c r="G35" i="24" s="1"/>
  <c r="G11" i="5"/>
  <c r="F11" i="5"/>
  <c r="F54" i="15" s="1"/>
  <c r="G10" i="5"/>
  <c r="F10" i="5"/>
  <c r="F53" i="15" s="1"/>
  <c r="G9" i="5"/>
  <c r="F9" i="5"/>
  <c r="F52" i="15" s="1"/>
  <c r="G8" i="5"/>
  <c r="F8" i="5"/>
  <c r="AA8" i="20" s="1"/>
  <c r="G7" i="5"/>
  <c r="F7" i="5"/>
  <c r="F50" i="15" s="1"/>
  <c r="E27" i="24" s="1"/>
  <c r="G30" i="24" s="1"/>
  <c r="G6" i="5"/>
  <c r="F6" i="5"/>
  <c r="F49" i="15" s="1"/>
  <c r="B11" i="5"/>
  <c r="B54" i="15" s="1"/>
  <c r="B10" i="5"/>
  <c r="W12" i="20" s="1"/>
  <c r="B9" i="5"/>
  <c r="B52" i="15" s="1"/>
  <c r="B8" i="5"/>
  <c r="W8" i="20" s="1"/>
  <c r="B7" i="5"/>
  <c r="B50" i="15" s="1"/>
  <c r="A27" i="24" s="1"/>
  <c r="G29" i="24" s="1"/>
  <c r="B6" i="5"/>
  <c r="W4" i="20" s="1"/>
  <c r="G11" i="4"/>
  <c r="F11" i="4"/>
  <c r="F43" i="15" s="1"/>
  <c r="G10" i="4"/>
  <c r="F10" i="4"/>
  <c r="F42" i="15" s="1"/>
  <c r="G9" i="4"/>
  <c r="F9" i="4"/>
  <c r="T10" i="20" s="1"/>
  <c r="G8" i="4"/>
  <c r="F8" i="4"/>
  <c r="F40" i="15" s="1"/>
  <c r="G7" i="4"/>
  <c r="F7" i="4"/>
  <c r="T6" i="20" s="1"/>
  <c r="G6" i="4"/>
  <c r="F6" i="4"/>
  <c r="F38" i="15" s="1"/>
  <c r="E18" i="24" s="1"/>
  <c r="G20" i="24" s="1"/>
  <c r="B11" i="4"/>
  <c r="B43" i="15" s="1"/>
  <c r="B10" i="4"/>
  <c r="P12" i="20" s="1"/>
  <c r="B9" i="4"/>
  <c r="P10" i="20" s="1"/>
  <c r="B8" i="4"/>
  <c r="B40" i="15" s="1"/>
  <c r="B7" i="4"/>
  <c r="P6" i="20" s="1"/>
  <c r="B6" i="4"/>
  <c r="P4" i="20" s="1"/>
  <c r="G11" i="3"/>
  <c r="F11" i="3"/>
  <c r="F32" i="15" s="1"/>
  <c r="G10" i="3"/>
  <c r="F10" i="3"/>
  <c r="M12" i="20" s="1"/>
  <c r="G9" i="3"/>
  <c r="F9" i="3"/>
  <c r="M10" i="20" s="1"/>
  <c r="G8" i="3"/>
  <c r="F8" i="3"/>
  <c r="F29" i="15" s="1"/>
  <c r="G7" i="3"/>
  <c r="F7" i="3"/>
  <c r="F28" i="15" s="1"/>
  <c r="E11" i="24" s="1"/>
  <c r="G14" i="24" s="1"/>
  <c r="G6" i="3"/>
  <c r="F6" i="3"/>
  <c r="M4" i="20" s="1"/>
  <c r="B11" i="3"/>
  <c r="B32" i="15" s="1"/>
  <c r="B10" i="3"/>
  <c r="B31" i="15" s="1"/>
  <c r="B9" i="3"/>
  <c r="I10" i="20" s="1"/>
  <c r="B8" i="3"/>
  <c r="B29" i="15" s="1"/>
  <c r="B7" i="3"/>
  <c r="I6" i="20" s="1"/>
  <c r="B6" i="3"/>
  <c r="B27" i="15" s="1"/>
  <c r="A10" i="24" s="1"/>
  <c r="G11" i="24" s="1"/>
  <c r="G11" i="2"/>
  <c r="F11" i="2"/>
  <c r="F21" i="15" s="1"/>
  <c r="G10" i="2"/>
  <c r="F10" i="2"/>
  <c r="F20" i="15" s="1"/>
  <c r="G9" i="2"/>
  <c r="F9" i="2"/>
  <c r="F19" i="15" s="1"/>
  <c r="G8" i="2"/>
  <c r="F8" i="2"/>
  <c r="F8" i="20" s="1"/>
  <c r="G7" i="2"/>
  <c r="F7" i="2"/>
  <c r="F17" i="15" s="1"/>
  <c r="G6" i="2"/>
  <c r="F6" i="2"/>
  <c r="F4" i="20" s="1"/>
  <c r="B11" i="2"/>
  <c r="B21" i="15" s="1"/>
  <c r="B10" i="2"/>
  <c r="B20" i="15" s="1"/>
  <c r="B9" i="2"/>
  <c r="B10" i="20" s="1"/>
  <c r="B8" i="2"/>
  <c r="B8" i="20" s="1"/>
  <c r="B7" i="2"/>
  <c r="B6" i="20" s="1"/>
  <c r="B6" i="2"/>
  <c r="B16" i="15" s="1"/>
  <c r="A2" i="24" s="1"/>
  <c r="G3" i="24" s="1"/>
  <c r="A3" i="19"/>
  <c r="M4" i="13"/>
  <c r="R27" i="13" s="1"/>
  <c r="L4" i="13"/>
  <c r="M4" i="12"/>
  <c r="S23" i="12" s="1"/>
  <c r="L4" i="12"/>
  <c r="M4" i="11"/>
  <c r="R23" i="11" s="1"/>
  <c r="R24" i="11" s="1"/>
  <c r="L4" i="11"/>
  <c r="R41" i="10"/>
  <c r="R24" i="9"/>
  <c r="Q25" i="9" s="1"/>
  <c r="Q24" i="9"/>
  <c r="B19" i="9"/>
  <c r="B18" i="9"/>
  <c r="B17" i="9"/>
  <c r="B16" i="9"/>
  <c r="R24" i="8"/>
  <c r="Q25" i="8" s="1"/>
  <c r="Q24" i="8"/>
  <c r="B19" i="8"/>
  <c r="B18" i="8"/>
  <c r="B17" i="8"/>
  <c r="B16" i="8"/>
  <c r="R24" i="7"/>
  <c r="R25" i="7" s="1"/>
  <c r="Q24" i="7"/>
  <c r="B19" i="7"/>
  <c r="B18" i="7"/>
  <c r="B17" i="7"/>
  <c r="B16" i="7"/>
  <c r="R24" i="6"/>
  <c r="Q25" i="6" s="1"/>
  <c r="Q24" i="6"/>
  <c r="B19" i="6"/>
  <c r="B18" i="6"/>
  <c r="B17" i="6"/>
  <c r="B16" i="6"/>
  <c r="R24" i="5"/>
  <c r="Q25" i="5" s="1"/>
  <c r="Q24" i="5"/>
  <c r="B19" i="5"/>
  <c r="B18" i="5"/>
  <c r="B17" i="5"/>
  <c r="B16" i="5"/>
  <c r="R24" i="4"/>
  <c r="R25" i="4" s="1"/>
  <c r="Q24" i="4"/>
  <c r="B19" i="4"/>
  <c r="B18" i="4"/>
  <c r="B17" i="4"/>
  <c r="B16" i="4"/>
  <c r="R24" i="3"/>
  <c r="Q25" i="3" s="1"/>
  <c r="Q24" i="3"/>
  <c r="B19" i="3"/>
  <c r="B18" i="3"/>
  <c r="B17" i="3"/>
  <c r="B16" i="3"/>
  <c r="R25" i="2"/>
  <c r="B19" i="2"/>
  <c r="B18" i="2"/>
  <c r="B17" i="2"/>
  <c r="B16" i="2"/>
  <c r="M6" i="20"/>
  <c r="M18" i="17"/>
  <c r="J10" i="4" s="1"/>
  <c r="L11" i="17"/>
  <c r="H9" i="3" s="1"/>
  <c r="M25" i="17"/>
  <c r="J11" i="5" s="1"/>
  <c r="M7" i="17"/>
  <c r="J11" i="2" s="1"/>
  <c r="L22" i="17"/>
  <c r="H8" i="5" s="1"/>
  <c r="L36" i="17"/>
  <c r="H10" i="7" s="1"/>
  <c r="L40" i="17"/>
  <c r="H8" i="8" s="1"/>
  <c r="M19" i="17"/>
  <c r="J11" i="4" s="1"/>
  <c r="L42" i="17"/>
  <c r="H10" i="8" s="1"/>
  <c r="M23" i="17"/>
  <c r="J9" i="5" s="1"/>
  <c r="M11" i="17"/>
  <c r="J9" i="3" s="1"/>
  <c r="M5" i="17"/>
  <c r="J9" i="2" s="1"/>
  <c r="L16" i="17"/>
  <c r="H8" i="4" s="1"/>
  <c r="L20" i="17"/>
  <c r="H6" i="5" s="1"/>
  <c r="L26" i="17"/>
  <c r="H6" i="6" s="1"/>
  <c r="M41" i="17"/>
  <c r="J9" i="8" s="1"/>
  <c r="M46" i="17"/>
  <c r="J8" i="9" s="1"/>
  <c r="L19" i="17"/>
  <c r="H11" i="4" s="1"/>
  <c r="M14" i="17"/>
  <c r="J6" i="4" s="1"/>
  <c r="M22" i="17"/>
  <c r="J8" i="5" s="1"/>
  <c r="M44" i="17"/>
  <c r="J6" i="9" s="1"/>
  <c r="M20" i="17"/>
  <c r="J6" i="5" s="1"/>
  <c r="M13" i="17"/>
  <c r="J11" i="3" s="1"/>
  <c r="M39" i="17"/>
  <c r="J7" i="8" s="1"/>
  <c r="M59" i="17"/>
  <c r="D12" i="11" s="1"/>
  <c r="L49" i="17"/>
  <c r="H11" i="9" s="1"/>
  <c r="L48" i="17"/>
  <c r="H10" i="9" s="1"/>
  <c r="L25" i="17"/>
  <c r="H11" i="5" s="1"/>
  <c r="L50" i="17"/>
  <c r="C8" i="10"/>
  <c r="M10" i="17"/>
  <c r="J8" i="3" s="1"/>
  <c r="L46" i="17"/>
  <c r="H8" i="9" s="1"/>
  <c r="C14" i="20"/>
  <c r="AA22" i="20"/>
  <c r="C12" i="20"/>
  <c r="Z28" i="20"/>
  <c r="C8" i="20"/>
  <c r="I19" i="15"/>
  <c r="K19" i="15" s="1"/>
  <c r="C48" i="20"/>
  <c r="I18" i="15"/>
  <c r="Z12" i="20"/>
  <c r="G97" i="15"/>
  <c r="G64" i="15"/>
  <c r="S8" i="20"/>
  <c r="G84" i="15"/>
  <c r="I60" i="15"/>
  <c r="I73" i="15"/>
  <c r="J73" i="15" s="1"/>
  <c r="I82" i="15"/>
  <c r="G50" i="15"/>
  <c r="L35" i="20"/>
  <c r="AH33" i="15"/>
  <c r="AE15" i="18" s="1"/>
  <c r="E58" i="20"/>
  <c r="X8" i="20"/>
  <c r="Q12" i="20"/>
  <c r="I76" i="15"/>
  <c r="S22" i="20"/>
  <c r="E4" i="20"/>
  <c r="G74" i="15"/>
  <c r="G38" i="15"/>
  <c r="J12" i="20"/>
  <c r="J20" i="20"/>
  <c r="X22" i="20"/>
  <c r="Z53" i="20"/>
  <c r="AH31" i="15"/>
  <c r="AE13" i="18" s="1"/>
  <c r="AG19" i="15"/>
  <c r="AD7" i="18" s="1"/>
  <c r="I28" i="15"/>
  <c r="G96" i="15"/>
  <c r="K96" i="15" s="1"/>
  <c r="AG23" i="15"/>
  <c r="AD11" i="18" s="1"/>
  <c r="X28" i="20"/>
  <c r="AG31" i="15"/>
  <c r="AD13" i="18" s="1"/>
  <c r="Q60" i="20"/>
  <c r="AH41" i="15"/>
  <c r="AE17" i="18" s="1"/>
  <c r="I38" i="15"/>
  <c r="X20" i="20"/>
  <c r="AG32" i="15"/>
  <c r="AD14" i="18" s="1"/>
  <c r="C53" i="20"/>
  <c r="Q14" i="20"/>
  <c r="Y40" i="15"/>
  <c r="AC16" i="18" s="1"/>
  <c r="AV16" i="18" s="1"/>
  <c r="S10" i="20"/>
  <c r="AG18" i="15"/>
  <c r="AD6" i="18" s="1"/>
  <c r="G93" i="15"/>
  <c r="Z14" i="20"/>
  <c r="C33" i="20"/>
  <c r="AG41" i="15"/>
  <c r="AD17" i="18" s="1"/>
  <c r="AH20" i="15"/>
  <c r="AE8" i="18" s="1"/>
  <c r="J65" i="20"/>
  <c r="L8" i="20"/>
  <c r="AA18" i="15"/>
  <c r="AF6" i="18" s="1"/>
  <c r="C24" i="20"/>
  <c r="C68" i="20"/>
  <c r="Z24" i="20"/>
  <c r="X10" i="20"/>
  <c r="G76" i="15"/>
  <c r="E14" i="20"/>
  <c r="I32" i="15"/>
  <c r="I50" i="15"/>
  <c r="Q24" i="20"/>
  <c r="AA20" i="15"/>
  <c r="AF8" i="18" s="1"/>
  <c r="AW8" i="18" s="1"/>
  <c r="L45" i="20"/>
  <c r="S60" i="20"/>
  <c r="G53" i="15"/>
  <c r="C63" i="20"/>
  <c r="S20" i="20"/>
  <c r="E20" i="20"/>
  <c r="L26" i="20"/>
  <c r="Y31" i="15"/>
  <c r="AC13" i="18" s="1"/>
  <c r="AV13" i="18" s="1"/>
  <c r="J22" i="20"/>
  <c r="AH18" i="15"/>
  <c r="AE6" i="18" s="1"/>
  <c r="G49" i="15"/>
  <c r="AA55" i="15"/>
  <c r="AF19" i="18" s="1"/>
  <c r="J8" i="20"/>
  <c r="G29" i="15"/>
  <c r="J14" i="20"/>
  <c r="G32" i="15"/>
  <c r="G87" i="15"/>
  <c r="Q28" i="20"/>
  <c r="AG30" i="15"/>
  <c r="AD12" i="18" s="1"/>
  <c r="J35" i="20"/>
  <c r="Y30" i="15"/>
  <c r="AA40" i="15"/>
  <c r="AF16" i="18" s="1"/>
  <c r="S40" i="20"/>
  <c r="I31" i="15"/>
  <c r="L12" i="20"/>
  <c r="I49" i="15"/>
  <c r="Z4" i="20"/>
  <c r="C22" i="20"/>
  <c r="G62" i="15"/>
  <c r="S6" i="20"/>
  <c r="J10" i="20"/>
  <c r="E6" i="20"/>
  <c r="X14" i="20"/>
  <c r="G65" i="15"/>
  <c r="AH48" i="15"/>
  <c r="AE18" i="18" s="1"/>
  <c r="AG48" i="15"/>
  <c r="AD18" i="18" s="1"/>
  <c r="Q10" i="20"/>
  <c r="G41" i="15"/>
  <c r="G61" i="15"/>
  <c r="C20" i="20"/>
  <c r="G17" i="15"/>
  <c r="C6" i="20"/>
  <c r="J6" i="20"/>
  <c r="G28" i="15"/>
  <c r="G71" i="15"/>
  <c r="J18" i="20"/>
  <c r="L20" i="20"/>
  <c r="I72" i="15"/>
  <c r="Y17" i="15"/>
  <c r="AC5" i="18" s="1"/>
  <c r="AV5" i="18" s="1"/>
  <c r="C38" i="20"/>
  <c r="AA33" i="15"/>
  <c r="AG33" i="15"/>
  <c r="AD15" i="18" s="1"/>
  <c r="L4" i="20"/>
  <c r="AH40" i="15"/>
  <c r="AE16" i="18" s="1"/>
  <c r="S12" i="20"/>
  <c r="I43" i="15"/>
  <c r="AH30" i="15"/>
  <c r="AE12" i="18" s="1"/>
  <c r="Y32" i="15"/>
  <c r="AG40" i="15"/>
  <c r="AD16" i="18" s="1"/>
  <c r="X53" i="20"/>
  <c r="I93" i="15"/>
  <c r="J26" i="20"/>
  <c r="G82" i="15"/>
  <c r="G86" i="15"/>
  <c r="L10" i="20"/>
  <c r="I30" i="15"/>
  <c r="AG17" i="15"/>
  <c r="AD5" i="18" s="1"/>
  <c r="E38" i="20"/>
  <c r="Y55" i="15"/>
  <c r="AH55" i="15"/>
  <c r="AE19" i="18" s="1"/>
  <c r="AG55" i="15"/>
  <c r="AD19" i="18" s="1"/>
  <c r="X48" i="20"/>
  <c r="C4" i="20"/>
  <c r="G16" i="15"/>
  <c r="E12" i="20"/>
  <c r="I20" i="15"/>
  <c r="I52" i="15"/>
  <c r="Z10" i="20"/>
  <c r="I63" i="15"/>
  <c r="E24" i="20"/>
  <c r="Q20" i="20"/>
  <c r="G83" i="15"/>
  <c r="Z26" i="20"/>
  <c r="I97" i="15"/>
  <c r="AH19" i="15"/>
  <c r="AE7" i="18" s="1"/>
  <c r="Y19" i="15"/>
  <c r="AC7" i="18" s="1"/>
  <c r="AV7" i="18" s="1"/>
  <c r="L55" i="20"/>
  <c r="AH32" i="15"/>
  <c r="AE14" i="18" s="1"/>
  <c r="AA32" i="15"/>
  <c r="AF14" i="18" s="1"/>
  <c r="AW14" i="18" s="1"/>
  <c r="E22" i="20"/>
  <c r="I62" i="15"/>
  <c r="AA16" i="15"/>
  <c r="AF4" i="18" s="1"/>
  <c r="AW4" i="18" s="1"/>
  <c r="AG16" i="15"/>
  <c r="AD4" i="18" s="1"/>
  <c r="AH16" i="15"/>
  <c r="AE4" i="18" s="1"/>
  <c r="J4" i="20"/>
  <c r="G27" i="15"/>
  <c r="G39" i="15"/>
  <c r="Q6" i="20"/>
  <c r="G60" i="15"/>
  <c r="C18" i="20"/>
  <c r="E26" i="20"/>
  <c r="I64" i="15"/>
  <c r="I85" i="15"/>
  <c r="S24" i="20"/>
  <c r="Z20" i="20"/>
  <c r="I94" i="15"/>
  <c r="AH22" i="15"/>
  <c r="AE10" i="18" s="1"/>
  <c r="AG22" i="15"/>
  <c r="AD10" i="18" s="1"/>
  <c r="AA22" i="15"/>
  <c r="AF10" i="18" s="1"/>
  <c r="AW10" i="18" s="1"/>
  <c r="I51" i="15"/>
  <c r="Z8" i="20"/>
  <c r="L18" i="20"/>
  <c r="I71" i="15"/>
  <c r="L24" i="20"/>
  <c r="I87" i="15"/>
  <c r="S28" i="20"/>
  <c r="E48" i="20"/>
  <c r="AH21" i="15"/>
  <c r="AE9" i="18" s="1"/>
  <c r="AG21" i="15"/>
  <c r="AD9" i="18" s="1"/>
  <c r="AA21" i="15"/>
  <c r="AF9" i="18" s="1"/>
  <c r="AW9" i="18" s="1"/>
  <c r="G40" i="15"/>
  <c r="Q8" i="20"/>
  <c r="I65" i="15"/>
  <c r="E28" i="20"/>
  <c r="S26" i="20"/>
  <c r="I86" i="15"/>
  <c r="I95" i="15"/>
  <c r="Z22" i="20"/>
  <c r="C43" i="20"/>
  <c r="AG20" i="15"/>
  <c r="AD8" i="18" s="1"/>
  <c r="Y20" i="15"/>
  <c r="AC8" i="18" s="1"/>
  <c r="AA23" i="15"/>
  <c r="AF11" i="18" s="1"/>
  <c r="AW11" i="18" s="1"/>
  <c r="AH23" i="15"/>
  <c r="AE11" i="18" s="1"/>
  <c r="E68" i="20"/>
  <c r="E33" i="20"/>
  <c r="AA17" i="15"/>
  <c r="AF5" i="18" s="1"/>
  <c r="AW5" i="18" s="1"/>
  <c r="AH17" i="15"/>
  <c r="AE5" i="18" s="1"/>
  <c r="M61" i="17"/>
  <c r="D20" i="11" s="1"/>
  <c r="L2" i="17"/>
  <c r="H6" i="2" s="1"/>
  <c r="M12" i="17"/>
  <c r="J10" i="3" s="1"/>
  <c r="M56" i="17"/>
  <c r="D32" i="10" s="1"/>
  <c r="M52" i="17"/>
  <c r="D16" i="10" s="1"/>
  <c r="M62" i="17"/>
  <c r="D8" i="12" s="1"/>
  <c r="L55" i="17"/>
  <c r="C28" i="10" s="1"/>
  <c r="L64" i="17"/>
  <c r="C9" i="13" s="1"/>
  <c r="M21" i="17"/>
  <c r="J7" i="5" s="1"/>
  <c r="L5" i="17"/>
  <c r="H9" i="2" s="1"/>
  <c r="L9" i="17"/>
  <c r="H7" i="3" s="1"/>
  <c r="M54" i="17"/>
  <c r="D24" i="10" s="1"/>
  <c r="L53" i="17"/>
  <c r="C20" i="10" s="1"/>
  <c r="L61" i="17"/>
  <c r="C20" i="11" s="1"/>
  <c r="L13" i="17"/>
  <c r="H11" i="3" s="1"/>
  <c r="L33" i="17"/>
  <c r="H7" i="7" s="1"/>
  <c r="L17" i="17"/>
  <c r="H9" i="4" s="1"/>
  <c r="L32" i="17"/>
  <c r="H6" i="7" s="1"/>
  <c r="L4" i="17"/>
  <c r="H8" i="2" s="1"/>
  <c r="M57" i="17"/>
  <c r="D36" i="10" s="1"/>
  <c r="L14" i="17"/>
  <c r="H6" i="4" s="1"/>
  <c r="L23" i="17"/>
  <c r="H9" i="5" s="1"/>
  <c r="M8" i="17"/>
  <c r="J6" i="3" s="1"/>
  <c r="L51" i="17"/>
  <c r="C12" i="10" s="1"/>
  <c r="M28" i="17"/>
  <c r="J8" i="6" s="1"/>
  <c r="M17" i="17"/>
  <c r="J9" i="4" s="1"/>
  <c r="L63" i="17"/>
  <c r="C12" i="12" s="1"/>
  <c r="M16" i="17"/>
  <c r="J8" i="4" s="1"/>
  <c r="L59" i="17"/>
  <c r="C12" i="11" s="1"/>
  <c r="M4" i="17"/>
  <c r="J8" i="2" s="1"/>
  <c r="M65" i="17"/>
  <c r="D16" i="13" s="1"/>
  <c r="M38" i="17"/>
  <c r="J6" i="8" s="1"/>
  <c r="L44" i="17"/>
  <c r="H6" i="9" s="1"/>
  <c r="L65" i="17"/>
  <c r="C16" i="13"/>
  <c r="M42" i="17"/>
  <c r="J10" i="8" s="1"/>
  <c r="L29" i="17"/>
  <c r="H9" i="6" s="1"/>
  <c r="L38" i="17"/>
  <c r="H6" i="8"/>
  <c r="M24" i="17"/>
  <c r="J10" i="5" s="1"/>
  <c r="M50" i="17"/>
  <c r="D8" i="10" s="1"/>
  <c r="L58" i="17"/>
  <c r="C8" i="11" s="1"/>
  <c r="L35" i="17"/>
  <c r="H9" i="7" s="1"/>
  <c r="L47" i="17"/>
  <c r="H9" i="9" s="1"/>
  <c r="L62" i="17"/>
  <c r="C8" i="12" s="1"/>
  <c r="M55" i="17"/>
  <c r="D28" i="10" s="1"/>
  <c r="L31" i="17"/>
  <c r="H11" i="6" s="1"/>
  <c r="L43" i="17"/>
  <c r="H11" i="8" s="1"/>
  <c r="L57" i="17"/>
  <c r="C36" i="10" s="1"/>
  <c r="E36" i="10" s="1"/>
  <c r="M58" i="17"/>
  <c r="D8" i="11" s="1"/>
  <c r="L21" i="17"/>
  <c r="H7" i="5" s="1"/>
  <c r="L7" i="17"/>
  <c r="H11" i="2" s="1"/>
  <c r="M40" i="17"/>
  <c r="J8" i="8" s="1"/>
  <c r="L3" i="17"/>
  <c r="H7" i="2" s="1"/>
  <c r="M60" i="17"/>
  <c r="D16" i="11" s="1"/>
  <c r="M49" i="17"/>
  <c r="J11" i="9" s="1"/>
  <c r="L15" i="17"/>
  <c r="H7" i="4" s="1"/>
  <c r="M48" i="17"/>
  <c r="J10" i="9"/>
  <c r="L27" i="17"/>
  <c r="H7" i="6" s="1"/>
  <c r="M36" i="17"/>
  <c r="J10" i="7" s="1"/>
  <c r="M34" i="17"/>
  <c r="J8" i="7" s="1"/>
  <c r="L6" i="17"/>
  <c r="H10" i="2" s="1"/>
  <c r="M29" i="17"/>
  <c r="J9" i="6" s="1"/>
  <c r="M9" i="17"/>
  <c r="J7" i="3" s="1"/>
  <c r="L10" i="17"/>
  <c r="H8" i="3" s="1"/>
  <c r="M45" i="17"/>
  <c r="J7" i="9" s="1"/>
  <c r="M53" i="17"/>
  <c r="D20" i="10" s="1"/>
  <c r="AA26" i="20"/>
  <c r="L54" i="17"/>
  <c r="C24" i="10" s="1"/>
  <c r="L30" i="17"/>
  <c r="H10" i="6" s="1"/>
  <c r="M6" i="17"/>
  <c r="J10" i="2" s="1"/>
  <c r="M35" i="17"/>
  <c r="J9" i="7" s="1"/>
  <c r="M47" i="17"/>
  <c r="J9" i="9" s="1"/>
  <c r="L60" i="17"/>
  <c r="C16" i="11" s="1"/>
  <c r="L56" i="17"/>
  <c r="C32" i="10"/>
  <c r="E32" i="10" s="1"/>
  <c r="L39" i="17"/>
  <c r="H7" i="8" s="1"/>
  <c r="M2" i="17"/>
  <c r="J6" i="2" s="1"/>
  <c r="M32" i="17"/>
  <c r="J6" i="7" s="1"/>
  <c r="L52" i="17"/>
  <c r="C16" i="10" s="1"/>
  <c r="E16" i="10" s="1"/>
  <c r="L41" i="17"/>
  <c r="H9" i="8" s="1"/>
  <c r="M51" i="17"/>
  <c r="D12" i="10" s="1"/>
  <c r="L45" i="17"/>
  <c r="H7" i="9" s="1"/>
  <c r="L34" i="17"/>
  <c r="H8" i="7" s="1"/>
  <c r="M30" i="17"/>
  <c r="J10" i="6" s="1"/>
  <c r="M37" i="17"/>
  <c r="J11" i="7" s="1"/>
  <c r="M3" i="17"/>
  <c r="J7" i="2"/>
  <c r="M15" i="17"/>
  <c r="J7" i="4" s="1"/>
  <c r="L28" i="17"/>
  <c r="H8" i="6" s="1"/>
  <c r="L8" i="17"/>
  <c r="H6" i="3" s="1"/>
  <c r="L37" i="17"/>
  <c r="H11" i="7" s="1"/>
  <c r="M33" i="17"/>
  <c r="J7" i="7" s="1"/>
  <c r="M31" i="17"/>
  <c r="J11" i="6" s="1"/>
  <c r="M26" i="17"/>
  <c r="J6" i="6" s="1"/>
  <c r="L12" i="17"/>
  <c r="H10" i="3" s="1"/>
  <c r="M63" i="17"/>
  <c r="D12" i="12" s="1"/>
  <c r="M64" i="17"/>
  <c r="D9" i="13" s="1"/>
  <c r="M27" i="17"/>
  <c r="J7" i="6" s="1"/>
  <c r="M43" i="17"/>
  <c r="J11" i="8" s="1"/>
  <c r="L24" i="17"/>
  <c r="H10" i="5" s="1"/>
  <c r="L18" i="17"/>
  <c r="H10" i="4" s="1"/>
  <c r="J96" i="15"/>
  <c r="G17" i="7" a="1"/>
  <c r="G17" i="3" a="1"/>
  <c r="G17" i="8" a="1"/>
  <c r="G17" i="6" a="1"/>
  <c r="G17" i="5" a="1"/>
  <c r="G17" i="4" a="1"/>
  <c r="G17" i="9" a="1"/>
  <c r="G17" i="2" a="1"/>
  <c r="L10" i="2" l="1"/>
  <c r="A10" i="2" s="1"/>
  <c r="A7" i="18"/>
  <c r="A7" i="24"/>
  <c r="A15" i="18"/>
  <c r="A15" i="24"/>
  <c r="A23" i="18"/>
  <c r="A23" i="24"/>
  <c r="A29" i="18"/>
  <c r="A29" i="24"/>
  <c r="A31" i="18"/>
  <c r="A31" i="24"/>
  <c r="A45" i="18"/>
  <c r="A45" i="24"/>
  <c r="A47" i="18"/>
  <c r="A47" i="24"/>
  <c r="A53" i="18"/>
  <c r="A53" i="24"/>
  <c r="M95" i="15"/>
  <c r="A59" i="24"/>
  <c r="G61" i="24" s="1"/>
  <c r="A61" i="18"/>
  <c r="A61" i="24"/>
  <c r="A6" i="18"/>
  <c r="A6" i="24"/>
  <c r="E3" i="18"/>
  <c r="G6" i="18" s="1"/>
  <c r="E3" i="24"/>
  <c r="G6" i="24" s="1"/>
  <c r="E5" i="18"/>
  <c r="E5" i="24"/>
  <c r="E6" i="18"/>
  <c r="E6" i="24"/>
  <c r="E7" i="18"/>
  <c r="E7" i="24"/>
  <c r="A12" i="18"/>
  <c r="A12" i="24"/>
  <c r="A14" i="18"/>
  <c r="A14" i="24"/>
  <c r="E12" i="18"/>
  <c r="E12" i="24"/>
  <c r="E15" i="18"/>
  <c r="E15" i="24"/>
  <c r="A20" i="18"/>
  <c r="A20" i="24"/>
  <c r="E20" i="18"/>
  <c r="E20" i="24"/>
  <c r="E22" i="18"/>
  <c r="E22" i="24"/>
  <c r="E23" i="18"/>
  <c r="E23" i="24"/>
  <c r="M50" i="15"/>
  <c r="E26" i="24"/>
  <c r="G28" i="24" s="1"/>
  <c r="E29" i="18"/>
  <c r="E29" i="24"/>
  <c r="E30" i="18"/>
  <c r="E30" i="24"/>
  <c r="E31" i="18"/>
  <c r="E31" i="24"/>
  <c r="A36" i="18"/>
  <c r="A36" i="24"/>
  <c r="M61" i="15"/>
  <c r="E34" i="24"/>
  <c r="G36" i="24" s="1"/>
  <c r="E36" i="18"/>
  <c r="E36" i="24"/>
  <c r="E39" i="18"/>
  <c r="E39" i="24"/>
  <c r="A44" i="18"/>
  <c r="A44" i="24"/>
  <c r="A46" i="18"/>
  <c r="A46" i="24"/>
  <c r="E43" i="18"/>
  <c r="G46" i="18" s="1"/>
  <c r="E43" i="24"/>
  <c r="G46" i="24" s="1"/>
  <c r="E44" i="18"/>
  <c r="E44" i="24"/>
  <c r="E45" i="18"/>
  <c r="E45" i="24"/>
  <c r="E47" i="18"/>
  <c r="E47" i="24"/>
  <c r="M82" i="15"/>
  <c r="A50" i="24"/>
  <c r="G51" i="24" s="1"/>
  <c r="A52" i="18"/>
  <c r="A52" i="24"/>
  <c r="E52" i="18"/>
  <c r="E52" i="24"/>
  <c r="A62" i="18"/>
  <c r="A62" i="24"/>
  <c r="M96" i="15"/>
  <c r="E59" i="24"/>
  <c r="G62" i="24" s="1"/>
  <c r="E60" i="18"/>
  <c r="E60" i="24"/>
  <c r="E61" i="18"/>
  <c r="E61" i="24"/>
  <c r="E62" i="18"/>
  <c r="E62" i="24"/>
  <c r="E20" i="10"/>
  <c r="A20" i="10" s="1"/>
  <c r="AW19" i="18"/>
  <c r="AW18" i="18"/>
  <c r="AW16" i="18"/>
  <c r="AW17" i="18"/>
  <c r="AV15" i="18"/>
  <c r="AW13" i="18"/>
  <c r="AW6" i="18"/>
  <c r="AV10" i="18"/>
  <c r="AV8" i="18"/>
  <c r="AV9" i="18"/>
  <c r="AV6" i="18"/>
  <c r="AV11" i="18"/>
  <c r="AV4" i="18"/>
  <c r="AW7" i="18"/>
  <c r="E24" i="10"/>
  <c r="A24" i="10" s="1"/>
  <c r="L6" i="2"/>
  <c r="A6" i="2" s="1"/>
  <c r="L8" i="2"/>
  <c r="A8" i="2" s="1"/>
  <c r="E28" i="10"/>
  <c r="A28" i="10" s="1"/>
  <c r="L7" i="2"/>
  <c r="A7" i="2" s="1"/>
  <c r="L9" i="2"/>
  <c r="A9" i="2" s="1"/>
  <c r="L11" i="2"/>
  <c r="A11" i="2" s="1"/>
  <c r="E12" i="10"/>
  <c r="E9" i="13"/>
  <c r="A9" i="13" s="1"/>
  <c r="E16" i="13"/>
  <c r="A16" i="13" s="1"/>
  <c r="E8" i="12"/>
  <c r="A8" i="12" s="1"/>
  <c r="E12" i="12"/>
  <c r="A12" i="12" s="1"/>
  <c r="E16" i="11"/>
  <c r="A16" i="11" s="1"/>
  <c r="E20" i="11"/>
  <c r="A20" i="11" s="1"/>
  <c r="E8" i="11"/>
  <c r="A8" i="11" s="1"/>
  <c r="E12" i="11"/>
  <c r="A12" i="11" s="1"/>
  <c r="E8" i="10"/>
  <c r="L8" i="9"/>
  <c r="A8" i="9" s="1"/>
  <c r="L9" i="9"/>
  <c r="A9" i="9" s="1"/>
  <c r="L10" i="9"/>
  <c r="A10" i="9" s="1"/>
  <c r="L6" i="9"/>
  <c r="A6" i="9" s="1"/>
  <c r="L11" i="9"/>
  <c r="A11" i="9" s="1"/>
  <c r="L7" i="9"/>
  <c r="A7" i="9" s="1"/>
  <c r="L8" i="8"/>
  <c r="A8" i="8" s="1"/>
  <c r="L9" i="8"/>
  <c r="A9" i="8" s="1"/>
  <c r="L10" i="8"/>
  <c r="A10" i="8" s="1"/>
  <c r="L6" i="8"/>
  <c r="A6" i="8" s="1"/>
  <c r="L11" i="8"/>
  <c r="A11" i="8" s="1"/>
  <c r="L7" i="8"/>
  <c r="A7" i="8" s="1"/>
  <c r="L8" i="7"/>
  <c r="A8" i="7" s="1"/>
  <c r="L6" i="7"/>
  <c r="A6" i="7" s="1"/>
  <c r="L7" i="7"/>
  <c r="A7" i="7" s="1"/>
  <c r="L9" i="7"/>
  <c r="A9" i="7" s="1"/>
  <c r="L10" i="7"/>
  <c r="A10" i="7" s="1"/>
  <c r="L11" i="7"/>
  <c r="A11" i="7" s="1"/>
  <c r="L8" i="6"/>
  <c r="A8" i="6" s="1"/>
  <c r="L9" i="6"/>
  <c r="A9" i="6" s="1"/>
  <c r="L10" i="6"/>
  <c r="A10" i="6" s="1"/>
  <c r="L6" i="6"/>
  <c r="A6" i="6" s="1"/>
  <c r="L11" i="6"/>
  <c r="A11" i="6" s="1"/>
  <c r="L7" i="6"/>
  <c r="A7" i="6" s="1"/>
  <c r="L8" i="5"/>
  <c r="A8" i="5" s="1"/>
  <c r="L9" i="5"/>
  <c r="A9" i="5" s="1"/>
  <c r="L10" i="5"/>
  <c r="A10" i="5" s="1"/>
  <c r="L6" i="5"/>
  <c r="A6" i="5" s="1"/>
  <c r="L11" i="5"/>
  <c r="A11" i="5" s="1"/>
  <c r="L7" i="5"/>
  <c r="A7" i="5" s="1"/>
  <c r="L8" i="4"/>
  <c r="A8" i="4" s="1"/>
  <c r="L7" i="4"/>
  <c r="A7" i="4" s="1"/>
  <c r="L9" i="4"/>
  <c r="A9" i="4" s="1"/>
  <c r="L10" i="4"/>
  <c r="A10" i="4" s="1"/>
  <c r="L6" i="4"/>
  <c r="A6" i="4" s="1"/>
  <c r="L11" i="4"/>
  <c r="A11" i="4" s="1"/>
  <c r="L8" i="3"/>
  <c r="A8" i="3" s="1"/>
  <c r="L6" i="3"/>
  <c r="A6" i="3" s="1"/>
  <c r="L7" i="3"/>
  <c r="A7" i="3" s="1"/>
  <c r="L9" i="3"/>
  <c r="A9" i="3" s="1"/>
  <c r="L10" i="3"/>
  <c r="A10" i="3" s="1"/>
  <c r="L11" i="3"/>
  <c r="A11" i="3" s="1"/>
  <c r="W18" i="20"/>
  <c r="W20" i="20"/>
  <c r="F82" i="15"/>
  <c r="AA14" i="20"/>
  <c r="B18" i="15"/>
  <c r="I18" i="20"/>
  <c r="T12" i="20"/>
  <c r="B51" i="15"/>
  <c r="F98" i="15"/>
  <c r="F20" i="20"/>
  <c r="E35" i="18"/>
  <c r="G38" i="18" s="1"/>
  <c r="M63" i="15"/>
  <c r="AA18" i="20"/>
  <c r="I26" i="20"/>
  <c r="B64" i="15"/>
  <c r="F63" i="15"/>
  <c r="AA20" i="20"/>
  <c r="F75" i="15"/>
  <c r="B18" i="20"/>
  <c r="AA6" i="20"/>
  <c r="T8" i="20"/>
  <c r="B28" i="15"/>
  <c r="P18" i="20"/>
  <c r="B4" i="20"/>
  <c r="P22" i="20"/>
  <c r="M22" i="20"/>
  <c r="F27" i="15"/>
  <c r="E10" i="24" s="1"/>
  <c r="G12" i="24" s="1"/>
  <c r="A2" i="18"/>
  <c r="G3" i="18" s="1"/>
  <c r="M16" i="15"/>
  <c r="M71" i="15"/>
  <c r="A42" i="18"/>
  <c r="G43" i="18" s="1"/>
  <c r="B53" i="15"/>
  <c r="F10" i="20"/>
  <c r="F51" i="15"/>
  <c r="F16" i="15"/>
  <c r="E2" i="24" s="1"/>
  <c r="G4" i="24" s="1"/>
  <c r="F87" i="15"/>
  <c r="F86" i="15"/>
  <c r="F85" i="15"/>
  <c r="T14" i="20"/>
  <c r="F39" i="15"/>
  <c r="B83" i="15"/>
  <c r="F64" i="15"/>
  <c r="B63" i="15"/>
  <c r="A58" i="18"/>
  <c r="G59" i="18" s="1"/>
  <c r="M93" i="15"/>
  <c r="P24" i="20"/>
  <c r="F18" i="20"/>
  <c r="F14" i="20"/>
  <c r="I28" i="20"/>
  <c r="B65" i="15"/>
  <c r="B22" i="20"/>
  <c r="F6" i="20"/>
  <c r="B17" i="15"/>
  <c r="I12" i="20"/>
  <c r="B14" i="20"/>
  <c r="M20" i="20"/>
  <c r="P14" i="20"/>
  <c r="W24" i="20"/>
  <c r="F71" i="15"/>
  <c r="E42" i="24" s="1"/>
  <c r="G44" i="24" s="1"/>
  <c r="AA24" i="20"/>
  <c r="AA10" i="20"/>
  <c r="I8" i="20"/>
  <c r="K83" i="15"/>
  <c r="K17" i="15"/>
  <c r="K71" i="15"/>
  <c r="K64" i="15"/>
  <c r="J39" i="15"/>
  <c r="J32" i="15"/>
  <c r="K84" i="15"/>
  <c r="K29" i="15"/>
  <c r="K40" i="15"/>
  <c r="K32" i="15"/>
  <c r="K93" i="15"/>
  <c r="J83" i="15"/>
  <c r="K49" i="15"/>
  <c r="J31" i="15"/>
  <c r="K74" i="15"/>
  <c r="K72" i="15"/>
  <c r="K65" i="15"/>
  <c r="J61" i="15"/>
  <c r="J64" i="15"/>
  <c r="J50" i="15"/>
  <c r="J49" i="15"/>
  <c r="K42" i="15"/>
  <c r="J43" i="15"/>
  <c r="K41" i="15"/>
  <c r="K31" i="15"/>
  <c r="K95" i="15"/>
  <c r="K94" i="15"/>
  <c r="K82" i="15"/>
  <c r="K86" i="15"/>
  <c r="K38" i="15"/>
  <c r="K28" i="15"/>
  <c r="J94" i="15"/>
  <c r="J82" i="15"/>
  <c r="J86" i="15"/>
  <c r="J84" i="15"/>
  <c r="K73" i="15"/>
  <c r="J74" i="15"/>
  <c r="J71" i="15"/>
  <c r="K76" i="15"/>
  <c r="J63" i="15"/>
  <c r="K61" i="15"/>
  <c r="J65" i="15"/>
  <c r="K51" i="15"/>
  <c r="K54" i="15"/>
  <c r="K53" i="15"/>
  <c r="J41" i="15"/>
  <c r="J28" i="15"/>
  <c r="J29" i="15"/>
  <c r="J16" i="15"/>
  <c r="K18" i="15"/>
  <c r="J17" i="15"/>
  <c r="K20" i="15"/>
  <c r="K21" i="15"/>
  <c r="K16" i="15"/>
  <c r="R25" i="5"/>
  <c r="R26" i="5" s="1"/>
  <c r="R23" i="12"/>
  <c r="S24" i="12" s="1"/>
  <c r="R25" i="8"/>
  <c r="R26" i="8" s="1"/>
  <c r="R25" i="6"/>
  <c r="R26" i="6" s="1"/>
  <c r="M27" i="15"/>
  <c r="A10" i="18"/>
  <c r="G11" i="18" s="1"/>
  <c r="E11" i="18"/>
  <c r="G14" i="18" s="1"/>
  <c r="M30" i="15"/>
  <c r="M60" i="15"/>
  <c r="A34" i="18"/>
  <c r="G35" i="18" s="1"/>
  <c r="E58" i="18"/>
  <c r="G60" i="18" s="1"/>
  <c r="M94" i="15"/>
  <c r="A16" i="10"/>
  <c r="J21" i="15"/>
  <c r="AC19" i="18"/>
  <c r="AV19" i="18" s="1"/>
  <c r="AC14" i="18"/>
  <c r="AV14" i="18" s="1"/>
  <c r="AF15" i="18"/>
  <c r="AW15" i="18" s="1"/>
  <c r="J60" i="15"/>
  <c r="J97" i="15"/>
  <c r="B98" i="15"/>
  <c r="B86" i="15"/>
  <c r="M14" i="20"/>
  <c r="B19" i="15"/>
  <c r="F12" i="20"/>
  <c r="I14" i="20"/>
  <c r="M8" i="20"/>
  <c r="F30" i="15"/>
  <c r="F31" i="15"/>
  <c r="B41" i="15"/>
  <c r="F41" i="15"/>
  <c r="AA4" i="20"/>
  <c r="I24" i="20"/>
  <c r="M28" i="20"/>
  <c r="A59" i="18"/>
  <c r="G61" i="18" s="1"/>
  <c r="J87" i="15"/>
  <c r="I4" i="20"/>
  <c r="J19" i="15"/>
  <c r="J72" i="15"/>
  <c r="F28" i="20"/>
  <c r="J76" i="15"/>
  <c r="J95" i="15"/>
  <c r="J51" i="15"/>
  <c r="M74" i="15"/>
  <c r="B38" i="15"/>
  <c r="A18" i="24" s="1"/>
  <c r="G19" i="24" s="1"/>
  <c r="W6" i="20"/>
  <c r="B95" i="15"/>
  <c r="P8" i="20"/>
  <c r="F18" i="15"/>
  <c r="J27" i="15"/>
  <c r="K50" i="15"/>
  <c r="E34" i="18"/>
  <c r="G36" i="18" s="1"/>
  <c r="F83" i="15"/>
  <c r="J62" i="15"/>
  <c r="K63" i="15"/>
  <c r="AA12" i="20"/>
  <c r="I22" i="20"/>
  <c r="K30" i="15"/>
  <c r="J52" i="15"/>
  <c r="J54" i="15"/>
  <c r="J75" i="15"/>
  <c r="J85" i="15"/>
  <c r="K98" i="15"/>
  <c r="R25" i="3"/>
  <c r="R26" i="3" s="1"/>
  <c r="A36" i="10"/>
  <c r="A32" i="10"/>
  <c r="R25" i="9"/>
  <c r="R26" i="9" s="1"/>
  <c r="S27" i="13"/>
  <c r="S28" i="13" s="1"/>
  <c r="Q25" i="7"/>
  <c r="R26" i="7" s="1"/>
  <c r="E27" i="18"/>
  <c r="G30" i="18" s="1"/>
  <c r="M52" i="15"/>
  <c r="M39" i="15"/>
  <c r="E18" i="18"/>
  <c r="G20" i="18" s="1"/>
  <c r="A43" i="18"/>
  <c r="G45" i="18" s="1"/>
  <c r="M73" i="15"/>
  <c r="M51" i="15"/>
  <c r="A27" i="18"/>
  <c r="G29" i="18" s="1"/>
  <c r="M62" i="15"/>
  <c r="A35" i="18"/>
  <c r="G37" i="18" s="1"/>
  <c r="T4" i="20"/>
  <c r="T22" i="20"/>
  <c r="J53" i="15"/>
  <c r="W26" i="20"/>
  <c r="E26" i="18"/>
  <c r="G28" i="18" s="1"/>
  <c r="B87" i="15"/>
  <c r="J18" i="15"/>
  <c r="K97" i="15"/>
  <c r="J42" i="15"/>
  <c r="K39" i="15"/>
  <c r="B20" i="20"/>
  <c r="B42" i="15"/>
  <c r="E59" i="18"/>
  <c r="G62" i="18" s="1"/>
  <c r="K27" i="15"/>
  <c r="K52" i="15"/>
  <c r="W10" i="20"/>
  <c r="F22" i="20"/>
  <c r="Q25" i="2"/>
  <c r="R26" i="2" s="1"/>
  <c r="K87" i="15"/>
  <c r="K60" i="15"/>
  <c r="K85" i="15"/>
  <c r="J20" i="15"/>
  <c r="K43" i="15"/>
  <c r="K75" i="15"/>
  <c r="J98" i="15"/>
  <c r="J93" i="15"/>
  <c r="W14" i="20"/>
  <c r="B49" i="15"/>
  <c r="A26" i="24" s="1"/>
  <c r="G27" i="24" s="1"/>
  <c r="A50" i="18"/>
  <c r="G51" i="18" s="1"/>
  <c r="J40" i="15"/>
  <c r="AC12" i="18"/>
  <c r="AV12" i="18" s="1"/>
  <c r="J38" i="15"/>
  <c r="M19" i="15"/>
  <c r="B30" i="15"/>
  <c r="B12" i="20"/>
  <c r="B39" i="15"/>
  <c r="A19" i="24" s="1"/>
  <c r="G21" i="24" s="1"/>
  <c r="I20" i="20"/>
  <c r="M24" i="20"/>
  <c r="J30" i="15"/>
  <c r="AC17" i="18"/>
  <c r="AV17" i="18" s="1"/>
  <c r="K62" i="15"/>
  <c r="I20" i="8"/>
  <c r="K20" i="8"/>
  <c r="G17" i="8"/>
  <c r="N20" i="8"/>
  <c r="H19" i="8"/>
  <c r="P20" i="8"/>
  <c r="I19" i="8"/>
  <c r="O19" i="8"/>
  <c r="L19" i="8"/>
  <c r="K17" i="8"/>
  <c r="M20" i="8"/>
  <c r="L20" i="8"/>
  <c r="G20" i="8"/>
  <c r="H17" i="8"/>
  <c r="H18" i="8"/>
  <c r="I18" i="8"/>
  <c r="L17" i="8"/>
  <c r="K19" i="8"/>
  <c r="P18" i="8"/>
  <c r="M19" i="8"/>
  <c r="G18" i="8"/>
  <c r="J18" i="8"/>
  <c r="J19" i="8"/>
  <c r="J17" i="8"/>
  <c r="J20" i="8"/>
  <c r="G19" i="8"/>
  <c r="O18" i="8"/>
  <c r="O20" i="8"/>
  <c r="N19" i="8"/>
  <c r="P17" i="8"/>
  <c r="I17" i="8"/>
  <c r="M18" i="8"/>
  <c r="M17" i="8"/>
  <c r="L18" i="8"/>
  <c r="P19" i="8"/>
  <c r="O17" i="8"/>
  <c r="H20" i="8"/>
  <c r="N17" i="8"/>
  <c r="N18" i="8"/>
  <c r="K18" i="8"/>
  <c r="P17" i="5"/>
  <c r="N18" i="5"/>
  <c r="M18" i="5"/>
  <c r="G17" i="5"/>
  <c r="J20" i="5"/>
  <c r="P20" i="5"/>
  <c r="I17" i="5"/>
  <c r="G19" i="5"/>
  <c r="M19" i="5"/>
  <c r="K20" i="5"/>
  <c r="H19" i="5"/>
  <c r="N17" i="5"/>
  <c r="K17" i="5"/>
  <c r="I19" i="5"/>
  <c r="P19" i="5"/>
  <c r="K19" i="5"/>
  <c r="P18" i="5"/>
  <c r="L20" i="5"/>
  <c r="H17" i="5"/>
  <c r="H20" i="5"/>
  <c r="M17" i="5"/>
  <c r="K18" i="5"/>
  <c r="N19" i="5"/>
  <c r="I18" i="5"/>
  <c r="J17" i="5"/>
  <c r="O19" i="5"/>
  <c r="G20" i="5"/>
  <c r="N20" i="5"/>
  <c r="H18" i="5"/>
  <c r="O17" i="5"/>
  <c r="L17" i="5"/>
  <c r="J18" i="5"/>
  <c r="O20" i="5"/>
  <c r="L18" i="5"/>
  <c r="I20" i="5"/>
  <c r="J19" i="5"/>
  <c r="L19" i="5"/>
  <c r="O18" i="5"/>
  <c r="M20" i="5"/>
  <c r="G18" i="5"/>
  <c r="K20" i="9"/>
  <c r="N20" i="9"/>
  <c r="O17" i="9"/>
  <c r="P19" i="9"/>
  <c r="G17" i="9"/>
  <c r="H20" i="9"/>
  <c r="P17" i="9"/>
  <c r="O18" i="9"/>
  <c r="M19" i="9"/>
  <c r="N17" i="9"/>
  <c r="L20" i="9"/>
  <c r="K19" i="9"/>
  <c r="K17" i="9"/>
  <c r="M20" i="9"/>
  <c r="L17" i="9"/>
  <c r="O20" i="9"/>
  <c r="N18" i="9"/>
  <c r="L19" i="9"/>
  <c r="N19" i="9"/>
  <c r="I18" i="9"/>
  <c r="J18" i="9"/>
  <c r="I20" i="9"/>
  <c r="H18" i="9"/>
  <c r="I19" i="9"/>
  <c r="G18" i="9"/>
  <c r="M18" i="9"/>
  <c r="J19" i="9"/>
  <c r="I17" i="9"/>
  <c r="J20" i="9"/>
  <c r="H19" i="9"/>
  <c r="M17" i="9"/>
  <c r="H17" i="9"/>
  <c r="P18" i="9"/>
  <c r="K18" i="9"/>
  <c r="P20" i="9"/>
  <c r="L18" i="9"/>
  <c r="J17" i="9"/>
  <c r="G19" i="9"/>
  <c r="O19" i="9"/>
  <c r="G20" i="9"/>
  <c r="P18" i="7"/>
  <c r="G17" i="7"/>
  <c r="K20" i="7"/>
  <c r="O20" i="7"/>
  <c r="O18" i="7"/>
  <c r="N19" i="7"/>
  <c r="J20" i="7"/>
  <c r="L20" i="7"/>
  <c r="I18" i="7"/>
  <c r="P20" i="7"/>
  <c r="M17" i="7"/>
  <c r="M20" i="7"/>
  <c r="K19" i="7"/>
  <c r="G19" i="7"/>
  <c r="L17" i="7"/>
  <c r="N20" i="7"/>
  <c r="O19" i="7"/>
  <c r="O17" i="7"/>
  <c r="J17" i="7"/>
  <c r="H20" i="7"/>
  <c r="G20" i="7"/>
  <c r="K17" i="7"/>
  <c r="L18" i="7"/>
  <c r="J19" i="7"/>
  <c r="N18" i="7"/>
  <c r="I19" i="7"/>
  <c r="P17" i="7"/>
  <c r="H19" i="7"/>
  <c r="J18" i="7"/>
  <c r="M19" i="7"/>
  <c r="I17" i="7"/>
  <c r="I20" i="7"/>
  <c r="M18" i="7"/>
  <c r="L19" i="7"/>
  <c r="G18" i="7"/>
  <c r="K18" i="7"/>
  <c r="H18" i="7"/>
  <c r="P19" i="7"/>
  <c r="H17" i="7"/>
  <c r="N17" i="7"/>
  <c r="I20" i="4"/>
  <c r="M20" i="4"/>
  <c r="O19" i="4"/>
  <c r="G19" i="4"/>
  <c r="H19" i="4"/>
  <c r="L19" i="4"/>
  <c r="G18" i="4"/>
  <c r="O20" i="4"/>
  <c r="J19" i="4"/>
  <c r="H17" i="4"/>
  <c r="N17" i="4"/>
  <c r="K19" i="4"/>
  <c r="I18" i="4"/>
  <c r="N18" i="4"/>
  <c r="O18" i="4"/>
  <c r="P18" i="4"/>
  <c r="L20" i="4"/>
  <c r="K20" i="4"/>
  <c r="P19" i="4"/>
  <c r="M19" i="4"/>
  <c r="J20" i="4"/>
  <c r="G20" i="4"/>
  <c r="M17" i="4"/>
  <c r="K17" i="4"/>
  <c r="I19" i="4"/>
  <c r="P20" i="4"/>
  <c r="H20" i="4"/>
  <c r="M18" i="4"/>
  <c r="J17" i="4"/>
  <c r="L17" i="4"/>
  <c r="G17" i="4"/>
  <c r="O17" i="4"/>
  <c r="I17" i="4"/>
  <c r="J18" i="4"/>
  <c r="H18" i="4"/>
  <c r="P17" i="4"/>
  <c r="N19" i="4"/>
  <c r="N20" i="4"/>
  <c r="K18" i="4"/>
  <c r="L18" i="4"/>
  <c r="N19" i="6"/>
  <c r="O18" i="6"/>
  <c r="N20" i="6"/>
  <c r="J18" i="6"/>
  <c r="I17" i="6"/>
  <c r="P18" i="6"/>
  <c r="P20" i="6"/>
  <c r="I19" i="6"/>
  <c r="H17" i="6"/>
  <c r="J20" i="6"/>
  <c r="K20" i="6"/>
  <c r="I20" i="6"/>
  <c r="G17" i="6"/>
  <c r="H18" i="6"/>
  <c r="J17" i="6"/>
  <c r="N18" i="6"/>
  <c r="M19" i="6"/>
  <c r="P19" i="6"/>
  <c r="L19" i="6"/>
  <c r="N17" i="6"/>
  <c r="G20" i="6"/>
  <c r="H20" i="6"/>
  <c r="H19" i="6"/>
  <c r="L17" i="6"/>
  <c r="K17" i="6"/>
  <c r="O17" i="6"/>
  <c r="G19" i="6"/>
  <c r="M18" i="6"/>
  <c r="G18" i="6"/>
  <c r="O20" i="6"/>
  <c r="M17" i="6"/>
  <c r="K19" i="6"/>
  <c r="L18" i="6"/>
  <c r="O19" i="6"/>
  <c r="M20" i="6"/>
  <c r="L20" i="6"/>
  <c r="P17" i="6"/>
  <c r="I18" i="6"/>
  <c r="J19" i="6"/>
  <c r="K18" i="6"/>
  <c r="M17" i="2"/>
  <c r="N19" i="2"/>
  <c r="N18" i="2"/>
  <c r="J17" i="2"/>
  <c r="I17" i="2"/>
  <c r="N17" i="2"/>
  <c r="H18" i="2"/>
  <c r="I20" i="2"/>
  <c r="K17" i="2"/>
  <c r="K20" i="2"/>
  <c r="M20" i="2"/>
  <c r="L19" i="2"/>
  <c r="P18" i="2"/>
  <c r="M19" i="2"/>
  <c r="P19" i="2"/>
  <c r="P20" i="2"/>
  <c r="I19" i="2"/>
  <c r="J18" i="2"/>
  <c r="K19" i="2"/>
  <c r="J20" i="2"/>
  <c r="H20" i="2"/>
  <c r="G17" i="2"/>
  <c r="J19" i="2"/>
  <c r="G19" i="2"/>
  <c r="L17" i="2"/>
  <c r="P17" i="2"/>
  <c r="N20" i="2"/>
  <c r="L18" i="2"/>
  <c r="I18" i="2"/>
  <c r="O19" i="2"/>
  <c r="G18" i="2"/>
  <c r="K18" i="2"/>
  <c r="O20" i="2"/>
  <c r="O18" i="2"/>
  <c r="O17" i="2"/>
  <c r="G20" i="2"/>
  <c r="L20" i="2"/>
  <c r="M18" i="2"/>
  <c r="H19" i="2"/>
  <c r="H17" i="2"/>
  <c r="G17" i="3"/>
  <c r="J17" i="3"/>
  <c r="H18" i="3"/>
  <c r="L18" i="3"/>
  <c r="N17" i="3"/>
  <c r="I19" i="3"/>
  <c r="M19" i="3"/>
  <c r="H19" i="3"/>
  <c r="P18" i="3"/>
  <c r="K17" i="3"/>
  <c r="M20" i="3"/>
  <c r="L19" i="3"/>
  <c r="K18" i="3"/>
  <c r="N20" i="3"/>
  <c r="G20" i="3"/>
  <c r="O17" i="3"/>
  <c r="N19" i="3"/>
  <c r="I17" i="3"/>
  <c r="P20" i="3"/>
  <c r="L20" i="3"/>
  <c r="J19" i="3"/>
  <c r="J20" i="3"/>
  <c r="N18" i="3"/>
  <c r="K19" i="3"/>
  <c r="G18" i="3"/>
  <c r="M17" i="3"/>
  <c r="H17" i="3"/>
  <c r="M18" i="3"/>
  <c r="O19" i="3"/>
  <c r="G19" i="3"/>
  <c r="P17" i="3"/>
  <c r="L17" i="3"/>
  <c r="I18" i="3"/>
  <c r="P19" i="3"/>
  <c r="H20" i="3"/>
  <c r="K20" i="3"/>
  <c r="O20" i="3"/>
  <c r="O18" i="3"/>
  <c r="I20" i="3"/>
  <c r="J18" i="3"/>
  <c r="Q25" i="4"/>
  <c r="R26" i="4" s="1"/>
  <c r="S41" i="10"/>
  <c r="S42" i="10" s="1"/>
  <c r="J35" i="18" a="1"/>
  <c r="J59" i="18" a="1"/>
  <c r="A21" i="18" l="1"/>
  <c r="A21" i="24"/>
  <c r="A3" i="18"/>
  <c r="G5" i="18" s="1"/>
  <c r="A3" i="24"/>
  <c r="G5" i="24" s="1"/>
  <c r="A13" i="18"/>
  <c r="A13" i="24"/>
  <c r="A22" i="18"/>
  <c r="A22" i="24"/>
  <c r="A55" i="18"/>
  <c r="A55" i="24"/>
  <c r="M85" i="15"/>
  <c r="E51" i="24"/>
  <c r="G54" i="24" s="1"/>
  <c r="E4" i="18"/>
  <c r="E4" i="24"/>
  <c r="A60" i="18"/>
  <c r="A60" i="24"/>
  <c r="E21" i="18"/>
  <c r="E21" i="24"/>
  <c r="E14" i="18"/>
  <c r="E14" i="24"/>
  <c r="A63" i="18"/>
  <c r="A63" i="24"/>
  <c r="A39" i="18"/>
  <c r="A39" i="24"/>
  <c r="E38" i="18"/>
  <c r="E38" i="24"/>
  <c r="M41" i="15"/>
  <c r="E19" i="24"/>
  <c r="G22" i="24" s="1"/>
  <c r="E53" i="18"/>
  <c r="E53" i="24"/>
  <c r="E55" i="18"/>
  <c r="E55" i="24"/>
  <c r="E28" i="18"/>
  <c r="E28" i="24"/>
  <c r="A30" i="18"/>
  <c r="A30" i="24"/>
  <c r="A11" i="18"/>
  <c r="G13" i="18" s="1"/>
  <c r="A11" i="24"/>
  <c r="G13" i="24" s="1"/>
  <c r="E46" i="18"/>
  <c r="E46" i="24"/>
  <c r="E37" i="18"/>
  <c r="E37" i="24"/>
  <c r="A28" i="18"/>
  <c r="A28" i="24"/>
  <c r="E13" i="18"/>
  <c r="E13" i="24"/>
  <c r="A5" i="18"/>
  <c r="A5" i="24"/>
  <c r="A54" i="18"/>
  <c r="A54" i="24"/>
  <c r="A37" i="18"/>
  <c r="A37" i="24"/>
  <c r="M84" i="15"/>
  <c r="A51" i="24"/>
  <c r="G53" i="24" s="1"/>
  <c r="E54" i="18"/>
  <c r="E54" i="24"/>
  <c r="A38" i="18"/>
  <c r="A38" i="24"/>
  <c r="E63" i="18"/>
  <c r="E63" i="24"/>
  <c r="A4" i="18"/>
  <c r="A4" i="24"/>
  <c r="E50" i="18"/>
  <c r="G52" i="18" s="1"/>
  <c r="E50" i="24"/>
  <c r="G52" i="24" s="1"/>
  <c r="M83" i="15"/>
  <c r="A12" i="10"/>
  <c r="E21" i="10"/>
  <c r="AB19" i="15" s="1"/>
  <c r="M18" i="15"/>
  <c r="M29" i="15"/>
  <c r="M28" i="15"/>
  <c r="E10" i="18"/>
  <c r="G12" i="18" s="1"/>
  <c r="E19" i="18"/>
  <c r="G22" i="18" s="1"/>
  <c r="A51" i="18"/>
  <c r="G53" i="18" s="1"/>
  <c r="M17" i="15"/>
  <c r="E2" i="18"/>
  <c r="G4" i="18" s="1"/>
  <c r="E42" i="18"/>
  <c r="G44" i="18" s="1"/>
  <c r="M72" i="15"/>
  <c r="K99" i="15"/>
  <c r="E29" i="10"/>
  <c r="AB21" i="15" s="1"/>
  <c r="E33" i="10"/>
  <c r="AB22" i="15" s="1"/>
  <c r="J88" i="15"/>
  <c r="J66" i="15"/>
  <c r="J33" i="15"/>
  <c r="J99" i="15"/>
  <c r="E37" i="10"/>
  <c r="F68" i="20" s="1"/>
  <c r="K77" i="15"/>
  <c r="J55" i="15"/>
  <c r="E15" i="10"/>
  <c r="B53" i="20" s="1"/>
  <c r="K22" i="15"/>
  <c r="J22" i="15"/>
  <c r="E19" i="10"/>
  <c r="E11" i="10"/>
  <c r="B38" i="20" s="1"/>
  <c r="E27" i="10"/>
  <c r="K66" i="15"/>
  <c r="K55" i="15"/>
  <c r="E51" i="18"/>
  <c r="G54" i="18" s="1"/>
  <c r="J77" i="15"/>
  <c r="A18" i="18"/>
  <c r="G19" i="18" s="1"/>
  <c r="M38" i="15"/>
  <c r="K88" i="15"/>
  <c r="K44" i="15"/>
  <c r="K33" i="15"/>
  <c r="E35" i="10"/>
  <c r="B68" i="20" s="1"/>
  <c r="R60" i="18"/>
  <c r="N59" i="18"/>
  <c r="P60" i="18"/>
  <c r="R59" i="18"/>
  <c r="N61" i="18"/>
  <c r="M59" i="18"/>
  <c r="L60" i="18"/>
  <c r="N62" i="18"/>
  <c r="M61" i="18"/>
  <c r="O59" i="18"/>
  <c r="K62" i="18"/>
  <c r="R61" i="18"/>
  <c r="S59" i="18"/>
  <c r="P62" i="18"/>
  <c r="J61" i="18"/>
  <c r="S60" i="18"/>
  <c r="P59" i="18"/>
  <c r="J60" i="18"/>
  <c r="M62" i="18"/>
  <c r="L62" i="18"/>
  <c r="S62" i="18"/>
  <c r="M60" i="18"/>
  <c r="K59" i="18"/>
  <c r="K60" i="18"/>
  <c r="P61" i="18"/>
  <c r="L59" i="18"/>
  <c r="N60" i="18"/>
  <c r="J59" i="18"/>
  <c r="Q62" i="18"/>
  <c r="J62" i="18"/>
  <c r="Q61" i="18"/>
  <c r="K61" i="18"/>
  <c r="S61" i="18"/>
  <c r="O62" i="18"/>
  <c r="Q59" i="18"/>
  <c r="R62" i="18"/>
  <c r="L61" i="18"/>
  <c r="Q60" i="18"/>
  <c r="O60" i="18"/>
  <c r="O61" i="18"/>
  <c r="J37" i="18"/>
  <c r="O38" i="18"/>
  <c r="Q37" i="18"/>
  <c r="S38" i="18"/>
  <c r="P35" i="18"/>
  <c r="P36" i="18"/>
  <c r="N35" i="18"/>
  <c r="L36" i="18"/>
  <c r="L38" i="18"/>
  <c r="K36" i="18"/>
  <c r="AA10" i="18" s="1"/>
  <c r="M36" i="18"/>
  <c r="P38" i="18"/>
  <c r="M37" i="18"/>
  <c r="Q36" i="18"/>
  <c r="R35" i="18"/>
  <c r="S36" i="18"/>
  <c r="N37" i="18"/>
  <c r="O37" i="18"/>
  <c r="K37" i="18"/>
  <c r="R36" i="18"/>
  <c r="K35" i="18"/>
  <c r="K38" i="18"/>
  <c r="J36" i="18"/>
  <c r="R38" i="18"/>
  <c r="N38" i="18"/>
  <c r="N36" i="18"/>
  <c r="J35" i="18"/>
  <c r="O35" i="18"/>
  <c r="Q38" i="18"/>
  <c r="O36" i="18"/>
  <c r="Q35" i="18"/>
  <c r="J38" i="18"/>
  <c r="R37" i="18"/>
  <c r="S37" i="18"/>
  <c r="M38" i="18"/>
  <c r="M35" i="18"/>
  <c r="S35" i="18"/>
  <c r="P37" i="18"/>
  <c r="L37" i="18"/>
  <c r="L35" i="18"/>
  <c r="M40" i="15"/>
  <c r="A19" i="18"/>
  <c r="G21" i="18" s="1"/>
  <c r="M49" i="15"/>
  <c r="A26" i="18"/>
  <c r="G27" i="18" s="1"/>
  <c r="J44" i="15"/>
  <c r="E9" i="10"/>
  <c r="AB16" i="15" s="1"/>
  <c r="J67" i="15"/>
  <c r="E23" i="10"/>
  <c r="E25" i="10"/>
  <c r="E13" i="10"/>
  <c r="E31" i="10"/>
  <c r="E17" i="10"/>
  <c r="E7" i="10"/>
  <c r="J27" i="18" a="1"/>
  <c r="J11" i="18" a="1"/>
  <c r="J19" i="18" a="1"/>
  <c r="J43" i="18" a="1"/>
  <c r="J3" i="18" a="1"/>
  <c r="J51" i="18" a="1"/>
  <c r="F58" i="20" l="1"/>
  <c r="J20" i="10"/>
  <c r="E17" i="11" s="1"/>
  <c r="M55" i="20" s="1"/>
  <c r="L12" i="18"/>
  <c r="L14" i="18"/>
  <c r="K12" i="18"/>
  <c r="R14" i="18"/>
  <c r="M11" i="18"/>
  <c r="N14" i="18"/>
  <c r="K13" i="18"/>
  <c r="R11" i="18"/>
  <c r="J12" i="18"/>
  <c r="O12" i="18"/>
  <c r="P12" i="18"/>
  <c r="M12" i="18"/>
  <c r="N13" i="18"/>
  <c r="N12" i="18"/>
  <c r="L13" i="18"/>
  <c r="Q14" i="18"/>
  <c r="M13" i="18"/>
  <c r="J11" i="18"/>
  <c r="O14" i="18"/>
  <c r="K11" i="18"/>
  <c r="V6" i="18" s="1"/>
  <c r="M14" i="18"/>
  <c r="O13" i="18"/>
  <c r="J14" i="18"/>
  <c r="J13" i="18"/>
  <c r="R13" i="18"/>
  <c r="Q13" i="18"/>
  <c r="L11" i="18"/>
  <c r="P11" i="18"/>
  <c r="S14" i="18"/>
  <c r="Q12" i="18"/>
  <c r="K14" i="18"/>
  <c r="O11" i="18"/>
  <c r="R12" i="18"/>
  <c r="S11" i="18"/>
  <c r="S13" i="18"/>
  <c r="N11" i="18"/>
  <c r="P13" i="18"/>
  <c r="S12" i="18"/>
  <c r="Q11" i="18"/>
  <c r="P14" i="18"/>
  <c r="K6" i="18"/>
  <c r="O6" i="18"/>
  <c r="L4" i="18"/>
  <c r="R6" i="18"/>
  <c r="N4" i="18"/>
  <c r="Q6" i="18"/>
  <c r="S5" i="18"/>
  <c r="Q4" i="18"/>
  <c r="M6" i="18"/>
  <c r="O3" i="18"/>
  <c r="P5" i="18"/>
  <c r="L3" i="18"/>
  <c r="M3" i="18"/>
  <c r="R5" i="18"/>
  <c r="Q5" i="18"/>
  <c r="O5" i="18"/>
  <c r="J3" i="18"/>
  <c r="S3" i="18"/>
  <c r="M4" i="18"/>
  <c r="K4" i="18"/>
  <c r="N5" i="18"/>
  <c r="L5" i="18"/>
  <c r="J5" i="18"/>
  <c r="R3" i="18"/>
  <c r="R4" i="18"/>
  <c r="Q3" i="18"/>
  <c r="P3" i="18"/>
  <c r="K3" i="18"/>
  <c r="N3" i="18"/>
  <c r="P4" i="18"/>
  <c r="J6" i="18"/>
  <c r="N6" i="18"/>
  <c r="S4" i="18"/>
  <c r="J4" i="18"/>
  <c r="O4" i="18"/>
  <c r="P6" i="18"/>
  <c r="K5" i="18"/>
  <c r="M5" i="18"/>
  <c r="S6" i="18"/>
  <c r="L6" i="18"/>
  <c r="L44" i="18"/>
  <c r="N45" i="18"/>
  <c r="S46" i="18"/>
  <c r="M43" i="18"/>
  <c r="O45" i="18"/>
  <c r="S43" i="18"/>
  <c r="J44" i="18"/>
  <c r="O44" i="18"/>
  <c r="O43" i="18"/>
  <c r="Q45" i="18"/>
  <c r="O46" i="18"/>
  <c r="K43" i="18"/>
  <c r="M44" i="18"/>
  <c r="S45" i="18"/>
  <c r="L45" i="18"/>
  <c r="K44" i="18"/>
  <c r="R44" i="18"/>
  <c r="L46" i="18"/>
  <c r="S44" i="18"/>
  <c r="R45" i="18"/>
  <c r="R46" i="18"/>
  <c r="P45" i="18"/>
  <c r="K46" i="18"/>
  <c r="P43" i="18"/>
  <c r="P46" i="18"/>
  <c r="N46" i="18"/>
  <c r="M45" i="18"/>
  <c r="Q46" i="18"/>
  <c r="K45" i="18"/>
  <c r="J45" i="18"/>
  <c r="Q44" i="18"/>
  <c r="Q43" i="18"/>
  <c r="J43" i="18"/>
  <c r="M46" i="18"/>
  <c r="P44" i="18"/>
  <c r="L43" i="18"/>
  <c r="N44" i="18"/>
  <c r="N43" i="18"/>
  <c r="J46" i="18"/>
  <c r="R43" i="18"/>
  <c r="O52" i="18"/>
  <c r="K52" i="18"/>
  <c r="R51" i="18"/>
  <c r="L54" i="18"/>
  <c r="O54" i="18"/>
  <c r="P52" i="18"/>
  <c r="J54" i="18"/>
  <c r="P54" i="18"/>
  <c r="L52" i="18"/>
  <c r="J52" i="18"/>
  <c r="R53" i="18"/>
  <c r="S52" i="18"/>
  <c r="M52" i="18"/>
  <c r="S51" i="18"/>
  <c r="K51" i="18"/>
  <c r="V9" i="18" s="1"/>
  <c r="O51" i="18"/>
  <c r="Q52" i="18"/>
  <c r="M54" i="18"/>
  <c r="M51" i="18"/>
  <c r="N52" i="18"/>
  <c r="Q51" i="18"/>
  <c r="N51" i="18"/>
  <c r="S54" i="18"/>
  <c r="J51" i="18"/>
  <c r="R54" i="18"/>
  <c r="P51" i="18"/>
  <c r="M53" i="18"/>
  <c r="N54" i="18"/>
  <c r="O53" i="18"/>
  <c r="P53" i="18"/>
  <c r="L51" i="18"/>
  <c r="Q54" i="18"/>
  <c r="K53" i="18"/>
  <c r="K54" i="18"/>
  <c r="R52" i="18"/>
  <c r="S53" i="18"/>
  <c r="Q53" i="18"/>
  <c r="L53" i="18"/>
  <c r="N53" i="18"/>
  <c r="J53" i="18"/>
  <c r="V22" i="15"/>
  <c r="V11" i="18"/>
  <c r="AA9" i="18"/>
  <c r="V8" i="18"/>
  <c r="J45" i="15"/>
  <c r="F63" i="20"/>
  <c r="J100" i="15"/>
  <c r="F48" i="20"/>
  <c r="J34" i="15"/>
  <c r="J28" i="10"/>
  <c r="E13" i="11" s="1"/>
  <c r="AB31" i="15" s="1"/>
  <c r="J78" i="15"/>
  <c r="J56" i="15"/>
  <c r="AB23" i="15"/>
  <c r="J89" i="15"/>
  <c r="AG7" i="18"/>
  <c r="AG4" i="18"/>
  <c r="AG9" i="18"/>
  <c r="AG10" i="18"/>
  <c r="J36" i="10"/>
  <c r="E21" i="11" s="1"/>
  <c r="AB33" i="15" s="1"/>
  <c r="J3" i="15"/>
  <c r="X18" i="15"/>
  <c r="J16" i="10"/>
  <c r="E15" i="11" s="1"/>
  <c r="I55" i="20" s="1"/>
  <c r="B58" i="20"/>
  <c r="J23" i="15"/>
  <c r="X19" i="15"/>
  <c r="X21" i="15"/>
  <c r="B48" i="20"/>
  <c r="X17" i="15"/>
  <c r="X23" i="15"/>
  <c r="F33" i="20"/>
  <c r="S21" i="18"/>
  <c r="S19" i="18"/>
  <c r="M22" i="18"/>
  <c r="L20" i="18"/>
  <c r="L19" i="18"/>
  <c r="Q22" i="18"/>
  <c r="Q21" i="18"/>
  <c r="M21" i="18"/>
  <c r="M19" i="18"/>
  <c r="J21" i="18"/>
  <c r="R19" i="18"/>
  <c r="N19" i="18"/>
  <c r="J20" i="18"/>
  <c r="Q20" i="18"/>
  <c r="P19" i="18"/>
  <c r="O20" i="18"/>
  <c r="K19" i="18"/>
  <c r="O22" i="18"/>
  <c r="J19" i="18"/>
  <c r="K22" i="18"/>
  <c r="L21" i="18"/>
  <c r="O21" i="18"/>
  <c r="M20" i="18"/>
  <c r="L22" i="18"/>
  <c r="P21" i="18"/>
  <c r="K21" i="18"/>
  <c r="R22" i="18"/>
  <c r="O19" i="18"/>
  <c r="K20" i="18"/>
  <c r="AA7" i="18" s="1"/>
  <c r="N22" i="18"/>
  <c r="R20" i="18"/>
  <c r="J22" i="18"/>
  <c r="R21" i="18"/>
  <c r="Q19" i="18"/>
  <c r="P20" i="18"/>
  <c r="N20" i="18"/>
  <c r="S22" i="18"/>
  <c r="P22" i="18"/>
  <c r="S20" i="18"/>
  <c r="N21" i="18"/>
  <c r="M27" i="18"/>
  <c r="L28" i="18"/>
  <c r="P29" i="18"/>
  <c r="K29" i="18"/>
  <c r="K28" i="18"/>
  <c r="R27" i="18"/>
  <c r="O28" i="18"/>
  <c r="Q29" i="18"/>
  <c r="O29" i="18"/>
  <c r="N30" i="18"/>
  <c r="N28" i="18"/>
  <c r="J29" i="18"/>
  <c r="N29" i="18"/>
  <c r="Q27" i="18"/>
  <c r="M28" i="18"/>
  <c r="O27" i="18"/>
  <c r="R30" i="18"/>
  <c r="R29" i="18"/>
  <c r="L27" i="18"/>
  <c r="K27" i="18"/>
  <c r="J27" i="18"/>
  <c r="J28" i="18"/>
  <c r="P28" i="18"/>
  <c r="M29" i="18"/>
  <c r="S30" i="18"/>
  <c r="M30" i="18"/>
  <c r="S27" i="18"/>
  <c r="P27" i="18"/>
  <c r="N27" i="18"/>
  <c r="L29" i="18"/>
  <c r="J30" i="18"/>
  <c r="O30" i="18"/>
  <c r="S29" i="18"/>
  <c r="R28" i="18"/>
  <c r="K30" i="18"/>
  <c r="S28" i="18"/>
  <c r="Q28" i="18"/>
  <c r="P30" i="18"/>
  <c r="L30" i="18"/>
  <c r="Q30" i="18"/>
  <c r="J2" i="15"/>
  <c r="F53" i="20"/>
  <c r="AB18" i="15"/>
  <c r="F38" i="20"/>
  <c r="AB17" i="15"/>
  <c r="X16" i="15"/>
  <c r="J8" i="10"/>
  <c r="E7" i="11" s="1"/>
  <c r="B33" i="20"/>
  <c r="X22" i="15"/>
  <c r="J32" i="10"/>
  <c r="E19" i="11" s="1"/>
  <c r="B63" i="20"/>
  <c r="F43" i="20"/>
  <c r="AB20" i="15"/>
  <c r="J12" i="10"/>
  <c r="E9" i="11" s="1"/>
  <c r="B43" i="20"/>
  <c r="X20" i="15"/>
  <c r="J24" i="10"/>
  <c r="E11" i="11" s="1"/>
  <c r="AK8" i="25" l="1" a="1"/>
  <c r="AK8" i="25" s="1"/>
  <c r="AM8" i="25" s="1"/>
  <c r="AJ8" i="25" a="1"/>
  <c r="AJ8" i="25" s="1"/>
  <c r="AL8" i="25" s="1"/>
  <c r="AK4" i="25" a="1"/>
  <c r="AK4" i="25" s="1"/>
  <c r="AM4" i="25" s="1"/>
  <c r="AJ4" i="25" a="1"/>
  <c r="AJ4" i="25" s="1"/>
  <c r="AL4" i="25" s="1"/>
  <c r="AK5" i="25" a="1"/>
  <c r="AK5" i="25" s="1"/>
  <c r="AM5" i="25" s="1"/>
  <c r="AJ5" i="25" a="1"/>
  <c r="AJ5" i="25" s="1"/>
  <c r="AL5" i="25" s="1"/>
  <c r="AK9" i="25" a="1"/>
  <c r="AK9" i="25" s="1"/>
  <c r="AM9" i="25" s="1"/>
  <c r="AJ9" i="25" a="1"/>
  <c r="AJ9" i="25" s="1"/>
  <c r="AL9" i="25" s="1"/>
  <c r="AK10" i="25" a="1"/>
  <c r="AK10" i="25" s="1"/>
  <c r="AM10" i="25" s="1"/>
  <c r="AJ10" i="25" a="1"/>
  <c r="AJ10" i="25" s="1"/>
  <c r="AL10" i="25" s="1"/>
  <c r="AK11" i="25" a="1"/>
  <c r="AK11" i="25" s="1"/>
  <c r="AM11" i="25" s="1"/>
  <c r="AJ11" i="25" a="1"/>
  <c r="AJ11" i="25" s="1"/>
  <c r="AL11" i="25" s="1"/>
  <c r="AK7" i="25" a="1"/>
  <c r="AK7" i="25" s="1"/>
  <c r="AM7" i="25" s="1"/>
  <c r="AJ7" i="25" a="1"/>
  <c r="AJ7" i="25" s="1"/>
  <c r="AL7" i="25" s="1"/>
  <c r="AK6" i="25" a="1"/>
  <c r="AK6" i="25" s="1"/>
  <c r="AM6" i="25" s="1"/>
  <c r="AJ6" i="25" a="1"/>
  <c r="AJ6" i="25" s="1"/>
  <c r="AL6" i="25" s="1"/>
  <c r="AK8" i="24" a="1"/>
  <c r="AK8" i="24" s="1"/>
  <c r="AM8" i="24" s="1"/>
  <c r="AJ8" i="24" a="1"/>
  <c r="AJ8" i="24" s="1"/>
  <c r="AL8" i="24" s="1"/>
  <c r="AK4" i="24" a="1"/>
  <c r="AK4" i="24" s="1"/>
  <c r="AM4" i="24" s="1"/>
  <c r="AJ4" i="24" a="1"/>
  <c r="AJ4" i="24" s="1"/>
  <c r="AL4" i="24" s="1"/>
  <c r="AK5" i="24" a="1"/>
  <c r="AK5" i="24" s="1"/>
  <c r="AM5" i="24" s="1"/>
  <c r="AJ5" i="24" a="1"/>
  <c r="AJ5" i="24" s="1"/>
  <c r="AL5" i="24" s="1"/>
  <c r="AK9" i="24" a="1"/>
  <c r="AK9" i="24" s="1"/>
  <c r="AM9" i="24" s="1"/>
  <c r="AJ9" i="24" a="1"/>
  <c r="AJ9" i="24" s="1"/>
  <c r="AL9" i="24" s="1"/>
  <c r="AK10" i="24" a="1"/>
  <c r="AK10" i="24" s="1"/>
  <c r="AM10" i="24" s="1"/>
  <c r="AJ10" i="24" a="1"/>
  <c r="AJ10" i="24" s="1"/>
  <c r="AL10" i="24" s="1"/>
  <c r="AK7" i="24" a="1"/>
  <c r="AK7" i="24" s="1"/>
  <c r="AM7" i="24" s="1"/>
  <c r="AJ7" i="24" a="1"/>
  <c r="AJ7" i="24" s="1"/>
  <c r="AL7" i="24" s="1"/>
  <c r="AK6" i="24" a="1"/>
  <c r="AK6" i="24" s="1"/>
  <c r="AM6" i="24" s="1"/>
  <c r="AJ6" i="24" a="1"/>
  <c r="AJ6" i="24" s="1"/>
  <c r="AL6" i="24" s="1"/>
  <c r="AG11" i="18"/>
  <c r="AK11" i="24" a="1"/>
  <c r="AK11" i="24" s="1"/>
  <c r="AM11" i="24" s="1"/>
  <c r="V31" i="21"/>
  <c r="P18" i="15"/>
  <c r="AA4" i="18"/>
  <c r="AI4" i="18" s="1"/>
  <c r="AA6" i="18"/>
  <c r="V4" i="18"/>
  <c r="V14" i="18"/>
  <c r="AI6" i="18"/>
  <c r="AH6" i="18"/>
  <c r="AH4" i="18"/>
  <c r="V12" i="18"/>
  <c r="P16" i="15"/>
  <c r="AA11" i="18"/>
  <c r="AA8" i="18"/>
  <c r="V10" i="18"/>
  <c r="AB32" i="15"/>
  <c r="V18" i="15"/>
  <c r="P32" i="15" s="1"/>
  <c r="V7" i="18"/>
  <c r="AA5" i="18"/>
  <c r="V5" i="18"/>
  <c r="V19" i="15"/>
  <c r="AI7" i="18"/>
  <c r="P20" i="15"/>
  <c r="V21" i="15"/>
  <c r="AI9" i="18"/>
  <c r="P21" i="15"/>
  <c r="AH9" i="18"/>
  <c r="AA13" i="18"/>
  <c r="P23" i="15"/>
  <c r="AI11" i="18"/>
  <c r="AI8" i="18"/>
  <c r="M45" i="20"/>
  <c r="AB9" i="18"/>
  <c r="AB6" i="18"/>
  <c r="AG13" i="18"/>
  <c r="AB11" i="18"/>
  <c r="AK11" i="18" s="1" a="1"/>
  <c r="AG8" i="18"/>
  <c r="AB10" i="18"/>
  <c r="AG5" i="18"/>
  <c r="AG6" i="18"/>
  <c r="AK6" i="18" s="1" a="1"/>
  <c r="AB7" i="18"/>
  <c r="AB8" i="18"/>
  <c r="AK8" i="18" s="1" a="1"/>
  <c r="AB4" i="18"/>
  <c r="AB5" i="18"/>
  <c r="AG15" i="18"/>
  <c r="M65" i="20"/>
  <c r="X32" i="15"/>
  <c r="J16" i="11"/>
  <c r="E11" i="12" s="1"/>
  <c r="X41" i="15" s="1"/>
  <c r="BB4" i="18"/>
  <c r="BB7" i="18"/>
  <c r="BB8" i="18"/>
  <c r="BB3" i="18"/>
  <c r="BB6" i="18"/>
  <c r="BB9" i="18"/>
  <c r="BB5" i="18"/>
  <c r="BB2" i="18"/>
  <c r="AK10" i="18" a="1"/>
  <c r="AJ4" i="18" a="1"/>
  <c r="BB11" i="18"/>
  <c r="BB30" i="18"/>
  <c r="BB32" i="18"/>
  <c r="BB26" i="18"/>
  <c r="BB15" i="18"/>
  <c r="BB10" i="18"/>
  <c r="BB19" i="18"/>
  <c r="BB18" i="18"/>
  <c r="BB33" i="18"/>
  <c r="BB31" i="18"/>
  <c r="BB20" i="18"/>
  <c r="BB17" i="18"/>
  <c r="BB13" i="18"/>
  <c r="BB28" i="18"/>
  <c r="BB27" i="18"/>
  <c r="BB23" i="18"/>
  <c r="BB14" i="18"/>
  <c r="BB24" i="18"/>
  <c r="BB25" i="18"/>
  <c r="BB22" i="18"/>
  <c r="BB29" i="18"/>
  <c r="BB21" i="18"/>
  <c r="BB16" i="18"/>
  <c r="BB12" i="18"/>
  <c r="J12" i="11"/>
  <c r="E9" i="12" s="1"/>
  <c r="X31" i="15"/>
  <c r="I45" i="20"/>
  <c r="I35" i="20"/>
  <c r="X30" i="15"/>
  <c r="J8" i="11"/>
  <c r="E7" i="12" s="1"/>
  <c r="J20" i="11"/>
  <c r="E13" i="12" s="1"/>
  <c r="I65" i="20"/>
  <c r="X33" i="15"/>
  <c r="AB30" i="15"/>
  <c r="M35" i="20"/>
  <c r="AJ6" i="18" l="1" a="1"/>
  <c r="AK9" i="18" a="1"/>
  <c r="AK4" i="18" a="1"/>
  <c r="AK7" i="18" a="1"/>
  <c r="AJ9" i="18" a="1"/>
  <c r="AJ7" i="18" a="1"/>
  <c r="AJ5" i="18" a="1"/>
  <c r="AJ8" i="18" a="1"/>
  <c r="AJ8" i="18" s="1"/>
  <c r="AL8" i="18" s="1"/>
  <c r="AK13" i="25" a="1"/>
  <c r="AK13" i="25" s="1"/>
  <c r="AM13" i="25" s="1"/>
  <c r="AJ13" i="25" a="1"/>
  <c r="AJ13" i="25" s="1"/>
  <c r="AL13" i="25" s="1"/>
  <c r="AR6" i="25"/>
  <c r="AE18" i="23" s="1"/>
  <c r="AP6" i="25"/>
  <c r="AN6" i="25"/>
  <c r="AT6" i="25" s="1"/>
  <c r="AS6" i="25"/>
  <c r="AF18" i="23" s="1"/>
  <c r="AQ6" i="25"/>
  <c r="AU6" i="25" s="1"/>
  <c r="AO6" i="25"/>
  <c r="AR7" i="25"/>
  <c r="AE19" i="23" s="1"/>
  <c r="AP7" i="25"/>
  <c r="AN7" i="25"/>
  <c r="AT7" i="25" s="1"/>
  <c r="AS7" i="25"/>
  <c r="AF19" i="23" s="1"/>
  <c r="AQ7" i="25"/>
  <c r="AU7" i="25" s="1"/>
  <c r="AO7" i="25"/>
  <c r="AS11" i="25"/>
  <c r="AF23" i="23" s="1"/>
  <c r="AQ11" i="25"/>
  <c r="AU11" i="25" s="1"/>
  <c r="AO11" i="25"/>
  <c r="AR11" i="25"/>
  <c r="AE23" i="23" s="1"/>
  <c r="AP11" i="25"/>
  <c r="AN11" i="25"/>
  <c r="AT11" i="25" s="1"/>
  <c r="AR10" i="25"/>
  <c r="AE22" i="23" s="1"/>
  <c r="AP10" i="25"/>
  <c r="AN10" i="25"/>
  <c r="AT10" i="25" s="1"/>
  <c r="AS10" i="25"/>
  <c r="AF22" i="23" s="1"/>
  <c r="AQ10" i="25"/>
  <c r="AU10" i="25" s="1"/>
  <c r="AO10" i="25"/>
  <c r="AR9" i="25"/>
  <c r="AE21" i="23" s="1"/>
  <c r="AP9" i="25"/>
  <c r="AN9" i="25"/>
  <c r="AT9" i="25" s="1"/>
  <c r="AS9" i="25"/>
  <c r="AF21" i="23" s="1"/>
  <c r="AQ9" i="25"/>
  <c r="AU9" i="25" s="1"/>
  <c r="AO9" i="25"/>
  <c r="AR5" i="25"/>
  <c r="AE17" i="23" s="1"/>
  <c r="AP5" i="25"/>
  <c r="AN5" i="25"/>
  <c r="AT5" i="25" s="1"/>
  <c r="AS5" i="25"/>
  <c r="AF17" i="23" s="1"/>
  <c r="AQ5" i="25"/>
  <c r="AU5" i="25" s="1"/>
  <c r="AO5" i="25"/>
  <c r="AR4" i="25"/>
  <c r="AE16" i="23" s="1"/>
  <c r="AP4" i="25"/>
  <c r="AN4" i="25"/>
  <c r="AT4" i="25" s="1"/>
  <c r="AS4" i="25"/>
  <c r="AF16" i="23" s="1"/>
  <c r="AQ4" i="25"/>
  <c r="AU4" i="25" s="1"/>
  <c r="AO4" i="25"/>
  <c r="AR8" i="25"/>
  <c r="AE20" i="23" s="1"/>
  <c r="AP8" i="25"/>
  <c r="AN8" i="25"/>
  <c r="AT8" i="25" s="1"/>
  <c r="AS8" i="25"/>
  <c r="AF20" i="23" s="1"/>
  <c r="AQ8" i="25"/>
  <c r="AU8" i="25" s="1"/>
  <c r="AO8" i="25"/>
  <c r="AK15" i="25" a="1"/>
  <c r="AK15" i="25" s="1"/>
  <c r="AM15" i="25" s="1"/>
  <c r="AJ15" i="25" a="1"/>
  <c r="AJ15" i="25" s="1"/>
  <c r="AL15" i="25" s="1"/>
  <c r="AK12" i="25" a="1"/>
  <c r="AK12" i="25" s="1"/>
  <c r="AM12" i="25" s="1"/>
  <c r="AJ12" i="25" a="1"/>
  <c r="AJ12" i="25" s="1"/>
  <c r="AL12" i="25" s="1"/>
  <c r="AK14" i="25" a="1"/>
  <c r="AK14" i="25" s="1"/>
  <c r="AM14" i="25" s="1"/>
  <c r="AJ14" i="25" a="1"/>
  <c r="AJ14" i="25" s="1"/>
  <c r="AL14" i="25" s="1"/>
  <c r="AK15" i="24" a="1"/>
  <c r="AK15" i="24" s="1"/>
  <c r="AM15" i="24" s="1"/>
  <c r="AJ15" i="24" a="1"/>
  <c r="AJ15" i="24" s="1"/>
  <c r="AL15" i="24" s="1"/>
  <c r="AK12" i="24" a="1"/>
  <c r="AK12" i="24" s="1"/>
  <c r="AM12" i="24" s="1"/>
  <c r="AJ12" i="24" a="1"/>
  <c r="AJ12" i="24" s="1"/>
  <c r="AL12" i="24" s="1"/>
  <c r="V17" i="15"/>
  <c r="AI10" i="18"/>
  <c r="P33" i="21"/>
  <c r="V23" i="15"/>
  <c r="V33" i="15" s="1"/>
  <c r="V33" i="21"/>
  <c r="AR6" i="24"/>
  <c r="AE18" i="21" s="1"/>
  <c r="AP6" i="24"/>
  <c r="AN6" i="24"/>
  <c r="AT6" i="24" s="1"/>
  <c r="AS6" i="24"/>
  <c r="AF18" i="21" s="1"/>
  <c r="AQ6" i="24"/>
  <c r="AU6" i="24" s="1"/>
  <c r="AO6" i="24"/>
  <c r="AR7" i="24"/>
  <c r="AE19" i="21" s="1"/>
  <c r="AP7" i="24"/>
  <c r="AN7" i="24"/>
  <c r="AT7" i="24" s="1"/>
  <c r="AS7" i="24"/>
  <c r="AF19" i="21" s="1"/>
  <c r="AQ7" i="24"/>
  <c r="AU7" i="24" s="1"/>
  <c r="AO7" i="24"/>
  <c r="AJ11" i="24" a="1"/>
  <c r="AJ11" i="24" s="1"/>
  <c r="AL11" i="24" s="1"/>
  <c r="AR10" i="24"/>
  <c r="AE22" i="21" s="1"/>
  <c r="AP10" i="24"/>
  <c r="AN10" i="24"/>
  <c r="AT10" i="24" s="1"/>
  <c r="AS10" i="24"/>
  <c r="AF22" i="21" s="1"/>
  <c r="AQ10" i="24"/>
  <c r="AU10" i="24" s="1"/>
  <c r="AO10" i="24"/>
  <c r="AR9" i="24"/>
  <c r="AE21" i="21" s="1"/>
  <c r="AP9" i="24"/>
  <c r="AN9" i="24"/>
  <c r="AT9" i="24" s="1"/>
  <c r="AQ9" i="24"/>
  <c r="AU9" i="24" s="1"/>
  <c r="AS9" i="24"/>
  <c r="AF21" i="21" s="1"/>
  <c r="AO9" i="24"/>
  <c r="AR8" i="24"/>
  <c r="AE20" i="21" s="1"/>
  <c r="AP8" i="24"/>
  <c r="AN8" i="24"/>
  <c r="AT8" i="24" s="1"/>
  <c r="AS8" i="24"/>
  <c r="AF20" i="21" s="1"/>
  <c r="AQ8" i="24"/>
  <c r="AU8" i="24" s="1"/>
  <c r="AO8" i="24"/>
  <c r="AK13" i="24" a="1"/>
  <c r="AK13" i="24" s="1"/>
  <c r="AM13" i="24" s="1"/>
  <c r="AJ13" i="24" a="1"/>
  <c r="AJ13" i="24" s="1"/>
  <c r="AL13" i="24" s="1"/>
  <c r="V30" i="21"/>
  <c r="AA14" i="18"/>
  <c r="AH14" i="18" s="1"/>
  <c r="V32" i="21"/>
  <c r="AG14" i="18"/>
  <c r="AK14" i="24" a="1"/>
  <c r="AK14" i="24" s="1"/>
  <c r="AM14" i="24" s="1"/>
  <c r="V20" i="15"/>
  <c r="P31" i="15" s="1"/>
  <c r="P31" i="21"/>
  <c r="V40" i="21" s="1"/>
  <c r="P32" i="21"/>
  <c r="V16" i="15"/>
  <c r="P30" i="15" s="1"/>
  <c r="P30" i="21"/>
  <c r="AD23" i="21"/>
  <c r="AD22" i="21"/>
  <c r="AD21" i="21"/>
  <c r="AD20" i="21"/>
  <c r="AD19" i="21"/>
  <c r="AD18" i="21"/>
  <c r="AD17" i="21"/>
  <c r="AD16" i="21"/>
  <c r="AC23" i="21"/>
  <c r="AC22" i="21"/>
  <c r="AC21" i="21"/>
  <c r="AC20" i="21"/>
  <c r="AC19" i="21"/>
  <c r="AC18" i="21"/>
  <c r="AC17" i="21"/>
  <c r="AC16" i="21"/>
  <c r="AJ11" i="18" a="1"/>
  <c r="AJ11" i="18" s="1"/>
  <c r="AL11" i="18" s="1"/>
  <c r="AJ10" i="18" a="1"/>
  <c r="AJ10" i="18" s="1"/>
  <c r="AL10" i="18" s="1"/>
  <c r="AK5" i="18" a="1"/>
  <c r="AK5" i="18" s="1"/>
  <c r="AM5" i="18" s="1"/>
  <c r="AH8" i="18"/>
  <c r="V13" i="18"/>
  <c r="AI13" i="18" s="1"/>
  <c r="AA15" i="18"/>
  <c r="AH11" i="18"/>
  <c r="V15" i="18"/>
  <c r="AA17" i="18" s="1"/>
  <c r="AA12" i="18"/>
  <c r="AI12" i="18" s="1"/>
  <c r="AH10" i="18"/>
  <c r="AI14" i="18"/>
  <c r="V17" i="18"/>
  <c r="P22" i="15"/>
  <c r="P33" i="15" s="1"/>
  <c r="V31" i="15"/>
  <c r="AH7" i="18"/>
  <c r="AJ7" i="18"/>
  <c r="AL7" i="18" s="1"/>
  <c r="AI5" i="18"/>
  <c r="AH5" i="18"/>
  <c r="AJ9" i="18"/>
  <c r="AL9" i="18" s="1"/>
  <c r="P19" i="15"/>
  <c r="V32" i="15" s="1"/>
  <c r="P41" i="15" s="1"/>
  <c r="AK10" i="18"/>
  <c r="AM10" i="18" s="1"/>
  <c r="P17" i="15"/>
  <c r="AK4" i="18"/>
  <c r="AM4" i="18" s="1"/>
  <c r="AH12" i="18"/>
  <c r="V16" i="18"/>
  <c r="AA16" i="18"/>
  <c r="AH13" i="18"/>
  <c r="AK6" i="18"/>
  <c r="AM6" i="18" s="1"/>
  <c r="AK11" i="18"/>
  <c r="AM11" i="18" s="1"/>
  <c r="AJ4" i="18"/>
  <c r="AL4" i="18" s="1"/>
  <c r="AK8" i="18"/>
  <c r="AM8" i="18" s="1"/>
  <c r="AJ6" i="18"/>
  <c r="AL6" i="18" s="1"/>
  <c r="AB14" i="18"/>
  <c r="AK9" i="18"/>
  <c r="AM9" i="18" s="1"/>
  <c r="AJ5" i="18"/>
  <c r="AL5" i="18" s="1"/>
  <c r="AB17" i="18"/>
  <c r="AB12" i="18"/>
  <c r="AB15" i="18"/>
  <c r="AJ15" i="18" s="1" a="1"/>
  <c r="AG12" i="18"/>
  <c r="AB13" i="18"/>
  <c r="AJ13" i="18" s="1" a="1"/>
  <c r="AK7" i="18"/>
  <c r="AM7" i="18" s="1"/>
  <c r="P60" i="20"/>
  <c r="AK13" i="18" a="1"/>
  <c r="T60" i="20"/>
  <c r="AB41" i="15"/>
  <c r="AB40" i="15"/>
  <c r="T40" i="20"/>
  <c r="P40" i="20"/>
  <c r="J8" i="12"/>
  <c r="X40" i="15"/>
  <c r="J12" i="12"/>
  <c r="AN5" i="24"/>
  <c r="AQ5" i="24"/>
  <c r="AP5" i="24"/>
  <c r="AO5" i="24"/>
  <c r="AP4" i="24"/>
  <c r="AO4" i="24"/>
  <c r="AN4" i="24"/>
  <c r="AQ4" i="24"/>
  <c r="V30" i="15" l="1"/>
  <c r="AK15" i="18" a="1"/>
  <c r="AJ12" i="18" a="1"/>
  <c r="AK12" i="18" a="1"/>
  <c r="AU5" i="24"/>
  <c r="AT5" i="24"/>
  <c r="AF24" i="23"/>
  <c r="AE24" i="23"/>
  <c r="P41" i="21"/>
  <c r="AJ17" i="24" a="1"/>
  <c r="AJ17" i="24" s="1"/>
  <c r="AL17" i="24" s="1"/>
  <c r="AK16" i="25" a="1"/>
  <c r="AK16" i="25" s="1"/>
  <c r="AM16" i="25" s="1"/>
  <c r="AJ16" i="25" a="1"/>
  <c r="AJ16" i="25" s="1"/>
  <c r="AL16" i="25" s="1"/>
  <c r="AS14" i="25"/>
  <c r="AF32" i="23" s="1"/>
  <c r="AQ14" i="25"/>
  <c r="AU14" i="25" s="1"/>
  <c r="AO14" i="25"/>
  <c r="AR14" i="25"/>
  <c r="AE32" i="23" s="1"/>
  <c r="AP14" i="25"/>
  <c r="AN14" i="25"/>
  <c r="AT14" i="25" s="1"/>
  <c r="AS12" i="25"/>
  <c r="AF30" i="23" s="1"/>
  <c r="AQ12" i="25"/>
  <c r="AU12" i="25" s="1"/>
  <c r="AO12" i="25"/>
  <c r="AR12" i="25"/>
  <c r="AE30" i="23" s="1"/>
  <c r="AP12" i="25"/>
  <c r="AN12" i="25"/>
  <c r="AT12" i="25" s="1"/>
  <c r="AS15" i="25"/>
  <c r="AF33" i="23" s="1"/>
  <c r="AQ15" i="25"/>
  <c r="AU15" i="25" s="1"/>
  <c r="AO15" i="25"/>
  <c r="AR15" i="25"/>
  <c r="AE33" i="23" s="1"/>
  <c r="AP15" i="25"/>
  <c r="AN15" i="25"/>
  <c r="AT15" i="25" s="1"/>
  <c r="AS13" i="25"/>
  <c r="AF31" i="23" s="1"/>
  <c r="AQ13" i="25"/>
  <c r="AU13" i="25" s="1"/>
  <c r="AO13" i="25"/>
  <c r="AR13" i="25"/>
  <c r="AE31" i="23" s="1"/>
  <c r="AP13" i="25"/>
  <c r="AN13" i="25"/>
  <c r="AT13" i="25" s="1"/>
  <c r="AU4" i="24"/>
  <c r="AT4" i="24"/>
  <c r="AK17" i="24" a="1"/>
  <c r="AK17" i="24" s="1"/>
  <c r="AM17" i="24" s="1"/>
  <c r="V41" i="21"/>
  <c r="AJ14" i="24" a="1"/>
  <c r="AJ14" i="24" s="1"/>
  <c r="AL14" i="24" s="1"/>
  <c r="AS12" i="24"/>
  <c r="AF30" i="21" s="1"/>
  <c r="AQ12" i="24"/>
  <c r="AU12" i="24" s="1"/>
  <c r="AO12" i="24"/>
  <c r="AR12" i="24"/>
  <c r="AE30" i="21" s="1"/>
  <c r="AP12" i="24"/>
  <c r="AN12" i="24"/>
  <c r="AT12" i="24" s="1"/>
  <c r="AS15" i="24"/>
  <c r="AF33" i="21" s="1"/>
  <c r="AQ15" i="24"/>
  <c r="AU15" i="24" s="1"/>
  <c r="AO15" i="24"/>
  <c r="AR15" i="24"/>
  <c r="AE33" i="21" s="1"/>
  <c r="AP15" i="24"/>
  <c r="AN15" i="24"/>
  <c r="AT15" i="24" s="1"/>
  <c r="AK16" i="24" a="1"/>
  <c r="AK16" i="24" s="1"/>
  <c r="AM16" i="24" s="1"/>
  <c r="AJ16" i="24" a="1"/>
  <c r="AJ16" i="24" s="1"/>
  <c r="AL16" i="24" s="1"/>
  <c r="AS13" i="24"/>
  <c r="AF31" i="21" s="1"/>
  <c r="AQ13" i="24"/>
  <c r="AU13" i="24" s="1"/>
  <c r="AO13" i="24"/>
  <c r="AR13" i="24"/>
  <c r="AE31" i="21" s="1"/>
  <c r="AP13" i="24"/>
  <c r="AN13" i="24"/>
  <c r="AT13" i="24" s="1"/>
  <c r="AS11" i="24"/>
  <c r="AF23" i="21" s="1"/>
  <c r="AQ11" i="24"/>
  <c r="AU11" i="24" s="1"/>
  <c r="AO11" i="24"/>
  <c r="AR11" i="24"/>
  <c r="AE23" i="21" s="1"/>
  <c r="AP11" i="24"/>
  <c r="AN11" i="24"/>
  <c r="AT11" i="24" s="1"/>
  <c r="P40" i="21"/>
  <c r="AC33" i="21"/>
  <c r="AC32" i="21"/>
  <c r="AC31" i="21"/>
  <c r="AC30" i="21"/>
  <c r="AD33" i="21"/>
  <c r="AD32" i="21"/>
  <c r="AD31" i="21"/>
  <c r="AD30" i="21"/>
  <c r="AC24" i="21"/>
  <c r="AD24" i="21"/>
  <c r="AJ14" i="18" a="1"/>
  <c r="AK14" i="18" a="1"/>
  <c r="AK14" i="18" s="1"/>
  <c r="AM14" i="18" s="1"/>
  <c r="AI15" i="18"/>
  <c r="AJ13" i="18"/>
  <c r="AL13" i="18" s="1"/>
  <c r="AJ15" i="18"/>
  <c r="AL15" i="18" s="1"/>
  <c r="AH15" i="18"/>
  <c r="AC20" i="15"/>
  <c r="AC16" i="15"/>
  <c r="AD16" i="15"/>
  <c r="V41" i="15"/>
  <c r="V55" i="15" s="1"/>
  <c r="AD18" i="15"/>
  <c r="AC19" i="15"/>
  <c r="AC22" i="15"/>
  <c r="AD19" i="15"/>
  <c r="V40" i="15"/>
  <c r="AC18" i="15"/>
  <c r="AD17" i="15"/>
  <c r="AD21" i="15"/>
  <c r="AC21" i="15"/>
  <c r="AA18" i="18"/>
  <c r="AI17" i="18"/>
  <c r="AC23" i="15"/>
  <c r="AD20" i="15"/>
  <c r="AC17" i="15"/>
  <c r="AD22" i="15"/>
  <c r="AD23" i="15"/>
  <c r="AC32" i="15"/>
  <c r="AI16" i="18"/>
  <c r="V18" i="18"/>
  <c r="AA19" i="18"/>
  <c r="AH17" i="18"/>
  <c r="V19" i="18"/>
  <c r="AH16" i="18"/>
  <c r="AJ14" i="18"/>
  <c r="AL14" i="18" s="1"/>
  <c r="AC31" i="15"/>
  <c r="AC33" i="15"/>
  <c r="AD30" i="15"/>
  <c r="AC30" i="15"/>
  <c r="AK15" i="18"/>
  <c r="AM15" i="18" s="1"/>
  <c r="AK13" i="18"/>
  <c r="AM13" i="18" s="1"/>
  <c r="AK12" i="18"/>
  <c r="AM12" i="18" s="1"/>
  <c r="AJ12" i="18"/>
  <c r="AL12" i="18" s="1"/>
  <c r="P40" i="15"/>
  <c r="AD32" i="15"/>
  <c r="AD33" i="15"/>
  <c r="AD31" i="15"/>
  <c r="AB16" i="18"/>
  <c r="AG16" i="18"/>
  <c r="AG17" i="18"/>
  <c r="AJ17" i="18" s="1" a="1"/>
  <c r="E10" i="13"/>
  <c r="E17" i="13"/>
  <c r="E8" i="13"/>
  <c r="E15" i="13"/>
  <c r="AN9" i="18"/>
  <c r="AQ11" i="18"/>
  <c r="AO9" i="18"/>
  <c r="AP11" i="18"/>
  <c r="AO11" i="18"/>
  <c r="AP9" i="18"/>
  <c r="AN11" i="18"/>
  <c r="AQ9" i="18"/>
  <c r="AQ10" i="18"/>
  <c r="AP8" i="18"/>
  <c r="AN10" i="18"/>
  <c r="AP10" i="18"/>
  <c r="AN8" i="18"/>
  <c r="AO8" i="18"/>
  <c r="AQ8" i="18"/>
  <c r="AO10" i="18"/>
  <c r="AN7" i="18"/>
  <c r="AQ7" i="18"/>
  <c r="AO7" i="18"/>
  <c r="AP7" i="18"/>
  <c r="AO6" i="18"/>
  <c r="AQ6" i="18"/>
  <c r="AN6" i="18"/>
  <c r="AP6" i="18"/>
  <c r="AP4" i="18"/>
  <c r="AO4" i="18"/>
  <c r="AN4" i="18"/>
  <c r="AQ4" i="18"/>
  <c r="AO5" i="18"/>
  <c r="AP5" i="18"/>
  <c r="AQ5" i="18"/>
  <c r="AN5" i="18"/>
  <c r="AJ16" i="18" l="1" a="1"/>
  <c r="AR5" i="24"/>
  <c r="AE17" i="21" s="1"/>
  <c r="AS5" i="24"/>
  <c r="AF17" i="21" s="1"/>
  <c r="AF34" i="23"/>
  <c r="AE34" i="23"/>
  <c r="AC25" i="23"/>
  <c r="AR17" i="24"/>
  <c r="AE41" i="21" s="1"/>
  <c r="V55" i="21"/>
  <c r="AS16" i="25"/>
  <c r="AF40" i="23" s="1"/>
  <c r="AQ16" i="25"/>
  <c r="AU16" i="25" s="1"/>
  <c r="AO16" i="25"/>
  <c r="AR16" i="25"/>
  <c r="AE40" i="23" s="1"/>
  <c r="AP16" i="25"/>
  <c r="AN16" i="25"/>
  <c r="AT16" i="25" s="1"/>
  <c r="AK17" i="25" a="1"/>
  <c r="AK17" i="25" s="1"/>
  <c r="AM17" i="25" s="1"/>
  <c r="AJ17" i="25" a="1"/>
  <c r="AJ17" i="25" s="1"/>
  <c r="AL17" i="25" s="1"/>
  <c r="AS4" i="24"/>
  <c r="AF16" i="21" s="1"/>
  <c r="AR4" i="24"/>
  <c r="AE16" i="21" s="1"/>
  <c r="AS16" i="24"/>
  <c r="AF40" i="21" s="1"/>
  <c r="AQ16" i="24"/>
  <c r="AU16" i="24" s="1"/>
  <c r="AO16" i="24"/>
  <c r="AR16" i="24"/>
  <c r="AE40" i="21" s="1"/>
  <c r="AP16" i="24"/>
  <c r="AN16" i="24"/>
  <c r="AT16" i="24" s="1"/>
  <c r="AS14" i="24"/>
  <c r="AF32" i="21" s="1"/>
  <c r="AQ14" i="24"/>
  <c r="AU14" i="24" s="1"/>
  <c r="AO14" i="24"/>
  <c r="AR14" i="24"/>
  <c r="AE32" i="21" s="1"/>
  <c r="AP14" i="24"/>
  <c r="AN14" i="24"/>
  <c r="AT14" i="24" s="1"/>
  <c r="AO17" i="24"/>
  <c r="AS17" i="24"/>
  <c r="AF41" i="21" s="1"/>
  <c r="AP17" i="24"/>
  <c r="V48" i="21"/>
  <c r="AQ17" i="24"/>
  <c r="AU17" i="24" s="1"/>
  <c r="AN17" i="24"/>
  <c r="AT17" i="24" s="1"/>
  <c r="AD34" i="21"/>
  <c r="AC34" i="21"/>
  <c r="P48" i="21"/>
  <c r="AC41" i="21"/>
  <c r="AC40" i="21"/>
  <c r="P55" i="21"/>
  <c r="AD41" i="21"/>
  <c r="AD40" i="21"/>
  <c r="AK17" i="18" a="1"/>
  <c r="AK16" i="18" a="1"/>
  <c r="AU5" i="18"/>
  <c r="AT7" i="18"/>
  <c r="AU7" i="18"/>
  <c r="AT9" i="18"/>
  <c r="AT5" i="18"/>
  <c r="AU8" i="18"/>
  <c r="AT6" i="18"/>
  <c r="V48" i="15"/>
  <c r="AT10" i="18"/>
  <c r="AT8" i="18"/>
  <c r="AU11" i="18"/>
  <c r="AU6" i="18"/>
  <c r="AU10" i="18"/>
  <c r="AU9" i="18"/>
  <c r="AT11" i="18"/>
  <c r="AU4" i="18"/>
  <c r="AT4" i="18"/>
  <c r="AD24" i="15"/>
  <c r="AC24" i="15"/>
  <c r="AI19" i="18"/>
  <c r="AI18" i="18"/>
  <c r="AH18" i="18"/>
  <c r="AH19" i="18"/>
  <c r="BH22" i="18"/>
  <c r="BH25" i="18"/>
  <c r="AY13" i="18"/>
  <c r="BC13" i="18" s="1"/>
  <c r="BH30" i="18"/>
  <c r="AY9" i="18"/>
  <c r="BJ18" i="18"/>
  <c r="BJ21" i="18"/>
  <c r="AY10" i="18"/>
  <c r="BC10" i="18" s="1"/>
  <c r="BH18" i="18"/>
  <c r="BJ11" i="18"/>
  <c r="BH10" i="18"/>
  <c r="AY5" i="18"/>
  <c r="BC5" i="18" s="1"/>
  <c r="AY32" i="18"/>
  <c r="BC32" i="18" s="1"/>
  <c r="BH6" i="18"/>
  <c r="BJ13" i="18"/>
  <c r="AY7" i="18"/>
  <c r="BC7" i="18" s="1"/>
  <c r="BH2" i="18"/>
  <c r="AY19" i="18"/>
  <c r="BC19" i="18" s="1"/>
  <c r="BH20" i="18"/>
  <c r="BJ24" i="18"/>
  <c r="BJ8" i="18"/>
  <c r="BH24" i="18"/>
  <c r="AY23" i="18"/>
  <c r="BC23" i="18" s="1"/>
  <c r="BJ29" i="18"/>
  <c r="AY27" i="18"/>
  <c r="BC27" i="18" s="1"/>
  <c r="AY15" i="18"/>
  <c r="BJ27" i="18"/>
  <c r="BJ16" i="18"/>
  <c r="AY33" i="18"/>
  <c r="BC33" i="18" s="1"/>
  <c r="BH29" i="18"/>
  <c r="AY12" i="18"/>
  <c r="BC12" i="18" s="1"/>
  <c r="BH9" i="18"/>
  <c r="BJ23" i="18"/>
  <c r="BJ19" i="18"/>
  <c r="AY25" i="18"/>
  <c r="AY11" i="18"/>
  <c r="BJ14" i="18"/>
  <c r="AY4" i="18"/>
  <c r="BC4" i="18" s="1"/>
  <c r="BH33" i="18"/>
  <c r="BJ30" i="18"/>
  <c r="AY24" i="18"/>
  <c r="BH11" i="18"/>
  <c r="BJ5" i="18"/>
  <c r="BH13" i="18"/>
  <c r="AY17" i="18"/>
  <c r="BC17" i="18" s="1"/>
  <c r="AY8" i="18"/>
  <c r="BJ28" i="18"/>
  <c r="BH5" i="18"/>
  <c r="BH27" i="18"/>
  <c r="BJ25" i="18"/>
  <c r="BJ32" i="18"/>
  <c r="BJ22" i="18"/>
  <c r="BH15" i="18"/>
  <c r="AY26" i="18"/>
  <c r="BC26" i="18" s="1"/>
  <c r="BJ3" i="18"/>
  <c r="BH17" i="18"/>
  <c r="BJ6" i="18"/>
  <c r="BH12" i="18"/>
  <c r="BJ12" i="18"/>
  <c r="BH7" i="18"/>
  <c r="BJ2" i="18"/>
  <c r="BJ26" i="18"/>
  <c r="AY18" i="18"/>
  <c r="AY2" i="18"/>
  <c r="AY29" i="18"/>
  <c r="AY31" i="18"/>
  <c r="BJ17" i="18"/>
  <c r="BH23" i="18"/>
  <c r="AY20" i="18"/>
  <c r="BJ15" i="18"/>
  <c r="BJ4" i="18"/>
  <c r="AY30" i="18"/>
  <c r="BJ31" i="18"/>
  <c r="BH28" i="18"/>
  <c r="AY28" i="18"/>
  <c r="BJ10" i="18"/>
  <c r="AY22" i="18"/>
  <c r="BJ9" i="18"/>
  <c r="BH3" i="18"/>
  <c r="BH26" i="18"/>
  <c r="BH31" i="18"/>
  <c r="BJ7" i="18"/>
  <c r="AY21" i="18"/>
  <c r="BH16" i="18"/>
  <c r="BH14" i="18"/>
  <c r="AY14" i="18"/>
  <c r="AY16" i="18"/>
  <c r="AY6" i="18"/>
  <c r="AY3" i="18"/>
  <c r="BH21" i="18"/>
  <c r="BJ33" i="18"/>
  <c r="BH19" i="18"/>
  <c r="BJ20" i="18"/>
  <c r="BH32" i="18"/>
  <c r="BH8" i="18"/>
  <c r="BH4" i="18"/>
  <c r="AC34" i="15"/>
  <c r="X60" i="15"/>
  <c r="AJ16" i="18"/>
  <c r="AL16" i="18" s="1"/>
  <c r="AD34" i="15"/>
  <c r="AK16" i="18"/>
  <c r="AM16" i="18" s="1"/>
  <c r="AC41" i="15"/>
  <c r="P55" i="15"/>
  <c r="P60" i="15" s="1"/>
  <c r="P48" i="15"/>
  <c r="AD41" i="15"/>
  <c r="AC40" i="15"/>
  <c r="AJ17" i="18"/>
  <c r="AL17" i="18" s="1"/>
  <c r="AK17" i="18"/>
  <c r="AM17" i="18" s="1"/>
  <c r="AD40" i="15"/>
  <c r="J16" i="13"/>
  <c r="W48" i="20"/>
  <c r="X55" i="15"/>
  <c r="AB48" i="15"/>
  <c r="AA53" i="20"/>
  <c r="AA48" i="20"/>
  <c r="AB55" i="15"/>
  <c r="X48" i="15"/>
  <c r="W53" i="20"/>
  <c r="J9" i="13"/>
  <c r="AP14" i="18"/>
  <c r="AP12" i="18"/>
  <c r="AO12" i="18"/>
  <c r="AP13" i="18"/>
  <c r="AN13" i="18"/>
  <c r="AQ14" i="18"/>
  <c r="AO13" i="18"/>
  <c r="AO14" i="18"/>
  <c r="AN15" i="18"/>
  <c r="AQ12" i="18"/>
  <c r="AP15" i="18"/>
  <c r="AO15" i="18"/>
  <c r="AN14" i="18"/>
  <c r="AQ15" i="18"/>
  <c r="AN12" i="18"/>
  <c r="AQ13" i="18"/>
  <c r="AC35" i="23" l="1"/>
  <c r="AK19" i="25"/>
  <c r="AM19" i="25" s="1"/>
  <c r="AJ19" i="25"/>
  <c r="AL19" i="25" s="1"/>
  <c r="AR17" i="25"/>
  <c r="AE41" i="23" s="1"/>
  <c r="AE42" i="23" s="1"/>
  <c r="AP17" i="25"/>
  <c r="AN17" i="25"/>
  <c r="AT17" i="25" s="1"/>
  <c r="AS17" i="25"/>
  <c r="AF41" i="23" s="1"/>
  <c r="AF42" i="23" s="1"/>
  <c r="AQ17" i="25"/>
  <c r="AU17" i="25" s="1"/>
  <c r="AO17" i="25"/>
  <c r="AJ18" i="25"/>
  <c r="AL18" i="25" s="1"/>
  <c r="AK18" i="25"/>
  <c r="AM18" i="25" s="1"/>
  <c r="AK19" i="24"/>
  <c r="AM19" i="24" s="1"/>
  <c r="AJ19" i="24"/>
  <c r="AL19" i="24" s="1"/>
  <c r="AB18" i="18"/>
  <c r="AG18" i="18"/>
  <c r="J7" i="21"/>
  <c r="AC42" i="21"/>
  <c r="AD42" i="21"/>
  <c r="AC55" i="21"/>
  <c r="AD55" i="21"/>
  <c r="AU13" i="18"/>
  <c r="AR9" i="18"/>
  <c r="AS9" i="18"/>
  <c r="AS5" i="18"/>
  <c r="AR5" i="18"/>
  <c r="AS4" i="18"/>
  <c r="AR4" i="18"/>
  <c r="AS7" i="18"/>
  <c r="AR7" i="18"/>
  <c r="AU12" i="18"/>
  <c r="AU14" i="18"/>
  <c r="AT12" i="18"/>
  <c r="AT14" i="18"/>
  <c r="AS11" i="18"/>
  <c r="AR11" i="18"/>
  <c r="AR8" i="18"/>
  <c r="AS8" i="18"/>
  <c r="AR6" i="18"/>
  <c r="AS6" i="18"/>
  <c r="AS10" i="18"/>
  <c r="AR10" i="18"/>
  <c r="AZ14" i="18"/>
  <c r="BF14" i="18" s="1"/>
  <c r="BG14" i="18" s="1"/>
  <c r="AZ23" i="18"/>
  <c r="BF23" i="18" s="1"/>
  <c r="BG23" i="18" s="1"/>
  <c r="AT15" i="18"/>
  <c r="AT13" i="18"/>
  <c r="AU15" i="18"/>
  <c r="AC56" i="15"/>
  <c r="BD29" i="18"/>
  <c r="BE29" i="18" s="1"/>
  <c r="J6" i="15"/>
  <c r="AZ28" i="18"/>
  <c r="BF28" i="18" s="1"/>
  <c r="BG28" i="18" s="1"/>
  <c r="AZ6" i="18"/>
  <c r="BF6" i="18" s="1"/>
  <c r="BG6" i="18" s="1"/>
  <c r="AZ4" i="18"/>
  <c r="BF4" i="18" s="1"/>
  <c r="BG4" i="18" s="1"/>
  <c r="BD30" i="18"/>
  <c r="BE30" i="18" s="1"/>
  <c r="AZ15" i="18"/>
  <c r="BF15" i="18" s="1"/>
  <c r="BG15" i="18" s="1"/>
  <c r="BK8" i="18"/>
  <c r="BD6" i="18"/>
  <c r="BE6" i="18" s="1"/>
  <c r="BD20" i="18"/>
  <c r="BE20" i="18" s="1"/>
  <c r="BD14" i="18"/>
  <c r="BE14" i="18" s="1"/>
  <c r="BD24" i="18"/>
  <c r="BE24" i="18" s="1"/>
  <c r="BD2" i="18"/>
  <c r="BE2" i="18" s="1"/>
  <c r="BD23" i="18"/>
  <c r="BE23" i="18" s="1"/>
  <c r="BD25" i="18"/>
  <c r="BE25" i="18" s="1"/>
  <c r="BD13" i="18"/>
  <c r="BE13" i="18" s="1"/>
  <c r="BD28" i="18"/>
  <c r="BE28" i="18" s="1"/>
  <c r="BD4" i="18"/>
  <c r="BE4" i="18" s="1"/>
  <c r="BD33" i="18"/>
  <c r="BE33" i="18" s="1"/>
  <c r="BI5" i="18"/>
  <c r="AZ13" i="18"/>
  <c r="BF13" i="18" s="1"/>
  <c r="BG13" i="18" s="1"/>
  <c r="BL25" i="18"/>
  <c r="BM25" i="18" s="1"/>
  <c r="BL11" i="18"/>
  <c r="BM11" i="18" s="1"/>
  <c r="AZ20" i="18"/>
  <c r="BF20" i="18" s="1"/>
  <c r="BG20" i="18" s="1"/>
  <c r="AZ17" i="18"/>
  <c r="BF17" i="18" s="1"/>
  <c r="BG17" i="18" s="1"/>
  <c r="AZ31" i="18"/>
  <c r="BF31" i="18" s="1"/>
  <c r="BG31" i="18" s="1"/>
  <c r="BD31" i="18"/>
  <c r="BE31" i="18" s="1"/>
  <c r="BD32" i="18"/>
  <c r="BE32" i="18" s="1"/>
  <c r="BD15" i="18"/>
  <c r="BE15" i="18" s="1"/>
  <c r="BD10" i="18"/>
  <c r="BE10" i="18" s="1"/>
  <c r="AZ18" i="18"/>
  <c r="BF18" i="18" s="1"/>
  <c r="BG18" i="18" s="1"/>
  <c r="AZ29" i="18"/>
  <c r="BF29" i="18" s="1"/>
  <c r="BG29" i="18" s="1"/>
  <c r="AZ3" i="18"/>
  <c r="BF3" i="18" s="1"/>
  <c r="BG3" i="18" s="1"/>
  <c r="AZ26" i="18"/>
  <c r="BF26" i="18" s="1"/>
  <c r="BG26" i="18" s="1"/>
  <c r="AZ12" i="18"/>
  <c r="BF12" i="18" s="1"/>
  <c r="BG12" i="18" s="1"/>
  <c r="AZ7" i="18"/>
  <c r="BF7" i="18" s="1"/>
  <c r="BG7" i="18" s="1"/>
  <c r="BK11" i="18"/>
  <c r="AZ9" i="18"/>
  <c r="BF9" i="18" s="1"/>
  <c r="BG9" i="18" s="1"/>
  <c r="AZ32" i="18"/>
  <c r="BF32" i="18" s="1"/>
  <c r="BG32" i="18" s="1"/>
  <c r="AZ5" i="18"/>
  <c r="BF5" i="18" s="1"/>
  <c r="BG5" i="18" s="1"/>
  <c r="AZ24" i="18"/>
  <c r="BF24" i="18" s="1"/>
  <c r="BG24" i="18" s="1"/>
  <c r="AZ27" i="18"/>
  <c r="BF27" i="18" s="1"/>
  <c r="BG27" i="18" s="1"/>
  <c r="AZ8" i="18"/>
  <c r="BF8" i="18" s="1"/>
  <c r="BG8" i="18" s="1"/>
  <c r="BD5" i="18"/>
  <c r="BE5" i="18" s="1"/>
  <c r="BD21" i="18"/>
  <c r="BE21" i="18" s="1"/>
  <c r="BD18" i="18"/>
  <c r="BE18" i="18" s="1"/>
  <c r="BD3" i="18"/>
  <c r="BE3" i="18" s="1"/>
  <c r="BD8" i="18"/>
  <c r="BE8" i="18" s="1"/>
  <c r="BD9" i="18"/>
  <c r="BE9" i="18" s="1"/>
  <c r="BD11" i="18"/>
  <c r="BE11" i="18" s="1"/>
  <c r="BD27" i="18"/>
  <c r="BE27" i="18" s="1"/>
  <c r="AZ10" i="18"/>
  <c r="BF10" i="18" s="1"/>
  <c r="BG10" i="18" s="1"/>
  <c r="AZ2" i="18"/>
  <c r="BF2" i="18" s="1"/>
  <c r="BG2" i="18" s="1"/>
  <c r="BI25" i="18"/>
  <c r="AZ11" i="18"/>
  <c r="BF11" i="18" s="1"/>
  <c r="BG11" i="18" s="1"/>
  <c r="AZ22" i="18"/>
  <c r="BF22" i="18" s="1"/>
  <c r="BG22" i="18" s="1"/>
  <c r="AZ21" i="18"/>
  <c r="BF21" i="18" s="1"/>
  <c r="BG21" i="18" s="1"/>
  <c r="AZ25" i="18"/>
  <c r="BF25" i="18" s="1"/>
  <c r="BG25" i="18" s="1"/>
  <c r="AZ30" i="18"/>
  <c r="BF30" i="18" s="1"/>
  <c r="BG30" i="18" s="1"/>
  <c r="AZ16" i="18"/>
  <c r="BF16" i="18" s="1"/>
  <c r="BG16" i="18" s="1"/>
  <c r="BD12" i="18"/>
  <c r="BE12" i="18" s="1"/>
  <c r="BD7" i="18"/>
  <c r="BE7" i="18" s="1"/>
  <c r="BD22" i="18"/>
  <c r="BE22" i="18" s="1"/>
  <c r="BD19" i="18"/>
  <c r="BE19" i="18" s="1"/>
  <c r="BD16" i="18"/>
  <c r="BE16" i="18" s="1"/>
  <c r="BD17" i="18"/>
  <c r="BE17" i="18" s="1"/>
  <c r="BD26" i="18"/>
  <c r="BE26" i="18" s="1"/>
  <c r="BK5" i="18"/>
  <c r="AZ19" i="18"/>
  <c r="BF19" i="18" s="1"/>
  <c r="BG19" i="18" s="1"/>
  <c r="BK23" i="18"/>
  <c r="AZ33" i="18"/>
  <c r="BF33" i="18" s="1"/>
  <c r="BG33" i="18" s="1"/>
  <c r="BI10" i="18"/>
  <c r="BL20" i="18"/>
  <c r="BM20" i="18" s="1"/>
  <c r="BL18" i="18"/>
  <c r="BM18" i="18" s="1"/>
  <c r="BK7" i="18"/>
  <c r="BA7" i="18"/>
  <c r="BL27" i="18"/>
  <c r="BM27" i="18" s="1"/>
  <c r="BL22" i="18"/>
  <c r="BM22" i="18" s="1"/>
  <c r="BL19" i="18"/>
  <c r="BM19" i="18" s="1"/>
  <c r="BK10" i="18"/>
  <c r="BI23" i="18"/>
  <c r="BL30" i="18"/>
  <c r="BM30" i="18" s="1"/>
  <c r="BK27" i="18"/>
  <c r="BC8" i="18"/>
  <c r="BL6" i="18"/>
  <c r="BM6" i="18" s="1"/>
  <c r="BK32" i="18"/>
  <c r="BL8" i="18"/>
  <c r="BM8" i="18" s="1"/>
  <c r="BK26" i="18"/>
  <c r="BI11" i="18"/>
  <c r="BK19" i="18"/>
  <c r="BK33" i="18"/>
  <c r="BL14" i="18"/>
  <c r="BM14" i="18" s="1"/>
  <c r="BL31" i="18"/>
  <c r="BM31" i="18" s="1"/>
  <c r="BI9" i="18"/>
  <c r="BL26" i="18"/>
  <c r="BM26" i="18" s="1"/>
  <c r="BK12" i="18"/>
  <c r="BK25" i="18"/>
  <c r="BK24" i="18"/>
  <c r="BL21" i="18"/>
  <c r="BM21" i="18" s="1"/>
  <c r="BK9" i="18"/>
  <c r="BK15" i="18"/>
  <c r="BC15" i="18"/>
  <c r="BC9" i="18"/>
  <c r="BL16" i="18"/>
  <c r="BM16" i="18" s="1"/>
  <c r="BI13" i="18"/>
  <c r="BL29" i="18"/>
  <c r="BM29" i="18" s="1"/>
  <c r="BL2" i="18"/>
  <c r="BM2" i="18" s="1"/>
  <c r="BC11" i="18"/>
  <c r="BI15" i="18"/>
  <c r="BK13" i="18"/>
  <c r="BL13" i="18"/>
  <c r="BM13" i="18" s="1"/>
  <c r="BL24" i="18"/>
  <c r="BM24" i="18" s="1"/>
  <c r="BL3" i="18"/>
  <c r="BM3" i="18" s="1"/>
  <c r="BK4" i="18"/>
  <c r="BI24" i="18"/>
  <c r="BL32" i="18"/>
  <c r="BM32" i="18" s="1"/>
  <c r="BI12" i="18"/>
  <c r="BK17" i="18"/>
  <c r="BL28" i="18"/>
  <c r="BM28" i="18" s="1"/>
  <c r="BC25" i="18"/>
  <c r="BI33" i="18"/>
  <c r="BI27" i="18"/>
  <c r="BL5" i="18"/>
  <c r="BM5" i="18" s="1"/>
  <c r="BI8" i="18"/>
  <c r="BL4" i="18"/>
  <c r="BM4" i="18" s="1"/>
  <c r="BL23" i="18"/>
  <c r="BM23" i="18" s="1"/>
  <c r="BC24" i="18"/>
  <c r="BL33" i="18"/>
  <c r="BM33" i="18" s="1"/>
  <c r="BI4" i="18"/>
  <c r="BI19" i="18"/>
  <c r="BL17" i="18"/>
  <c r="BM17" i="18" s="1"/>
  <c r="BL15" i="18"/>
  <c r="BM15" i="18" s="1"/>
  <c r="BC3" i="18"/>
  <c r="BI3" i="18"/>
  <c r="BK3" i="18"/>
  <c r="BI28" i="18"/>
  <c r="BC28" i="18"/>
  <c r="BK28" i="18"/>
  <c r="BC18" i="18"/>
  <c r="BI18" i="18"/>
  <c r="BK18" i="18"/>
  <c r="BC14" i="18"/>
  <c r="BI14" i="18"/>
  <c r="BK14" i="18"/>
  <c r="BK30" i="18"/>
  <c r="BI30" i="18"/>
  <c r="BC30" i="18"/>
  <c r="BC2" i="18"/>
  <c r="BK2" i="18"/>
  <c r="BI2" i="18"/>
  <c r="BI16" i="18"/>
  <c r="BC16" i="18"/>
  <c r="BK16" i="18"/>
  <c r="BC21" i="18"/>
  <c r="BK21" i="18"/>
  <c r="BI21" i="18"/>
  <c r="BC22" i="18"/>
  <c r="BI22" i="18"/>
  <c r="BK22" i="18"/>
  <c r="BC20" i="18"/>
  <c r="BK20" i="18"/>
  <c r="BI20" i="18"/>
  <c r="BI29" i="18"/>
  <c r="BK29" i="18"/>
  <c r="BC29" i="18"/>
  <c r="BL7" i="18"/>
  <c r="BM7" i="18" s="1"/>
  <c r="BL9" i="18"/>
  <c r="BM9" i="18" s="1"/>
  <c r="BL10" i="18"/>
  <c r="BM10" i="18" s="1"/>
  <c r="BI7" i="18"/>
  <c r="BI17" i="18"/>
  <c r="BI26" i="18"/>
  <c r="BK6" i="18"/>
  <c r="BC6" i="18"/>
  <c r="BI6" i="18"/>
  <c r="BC31" i="18"/>
  <c r="BI31" i="18"/>
  <c r="BK31" i="18"/>
  <c r="BL12" i="18"/>
  <c r="BM12" i="18" s="1"/>
  <c r="BI32" i="18"/>
  <c r="AC42" i="15"/>
  <c r="J7" i="15"/>
  <c r="AG19" i="18"/>
  <c r="AD55" i="15"/>
  <c r="AB19" i="18"/>
  <c r="AC55" i="15"/>
  <c r="AD42" i="15"/>
  <c r="I14" i="13"/>
  <c r="AC48" i="20"/>
  <c r="I17" i="13"/>
  <c r="AN17" i="18"/>
  <c r="AP17" i="18"/>
  <c r="AP16" i="18"/>
  <c r="AO16" i="18"/>
  <c r="AN16" i="18"/>
  <c r="AO17" i="18"/>
  <c r="AQ16" i="18"/>
  <c r="AQ17" i="18"/>
  <c r="AK18" i="18" l="1"/>
  <c r="AM18" i="18" s="1"/>
  <c r="AJ18" i="18"/>
  <c r="AL18" i="18" s="1"/>
  <c r="AC43" i="23"/>
  <c r="J8" i="21"/>
  <c r="AS19" i="25"/>
  <c r="AF55" i="23" s="1"/>
  <c r="AQ19" i="25"/>
  <c r="AU19" i="25" s="1"/>
  <c r="AO19" i="25"/>
  <c r="AR19" i="25"/>
  <c r="AE55" i="23" s="1"/>
  <c r="AP19" i="25"/>
  <c r="AN19" i="25"/>
  <c r="AT19" i="25" s="1"/>
  <c r="AR18" i="25"/>
  <c r="AE48" i="23" s="1"/>
  <c r="AP18" i="25"/>
  <c r="AN18" i="25"/>
  <c r="AT18" i="25" s="1"/>
  <c r="AS18" i="25"/>
  <c r="AF48" i="23" s="1"/>
  <c r="AQ18" i="25"/>
  <c r="AU18" i="25" s="1"/>
  <c r="AO18" i="25"/>
  <c r="AJ18" i="24"/>
  <c r="AL18" i="24" s="1"/>
  <c r="AK18" i="24"/>
  <c r="AM18" i="24" s="1"/>
  <c r="AS19" i="24"/>
  <c r="AF55" i="21" s="1"/>
  <c r="AQ19" i="24"/>
  <c r="AU19" i="24" s="1"/>
  <c r="AO19" i="24"/>
  <c r="AR19" i="24"/>
  <c r="AE55" i="21" s="1"/>
  <c r="AP19" i="24"/>
  <c r="AN19" i="24"/>
  <c r="AT19" i="24" s="1"/>
  <c r="AF22" i="15"/>
  <c r="AE18" i="15"/>
  <c r="AE20" i="15"/>
  <c r="AF23" i="15"/>
  <c r="AF19" i="15"/>
  <c r="AF16" i="15"/>
  <c r="AF17" i="15"/>
  <c r="AE21" i="15"/>
  <c r="AE22" i="15"/>
  <c r="AF18" i="15"/>
  <c r="AF20" i="15"/>
  <c r="AE23" i="15"/>
  <c r="AE19" i="15"/>
  <c r="AE16" i="15"/>
  <c r="AE17" i="15"/>
  <c r="AF21" i="15"/>
  <c r="AS13" i="18"/>
  <c r="AR13" i="18"/>
  <c r="AR14" i="18"/>
  <c r="AS14" i="18"/>
  <c r="AS15" i="18"/>
  <c r="AR15" i="18"/>
  <c r="AS12" i="18"/>
  <c r="AR12" i="18"/>
  <c r="AT17" i="18"/>
  <c r="AU17" i="18"/>
  <c r="BA4" i="18"/>
  <c r="BA14" i="18"/>
  <c r="BA23" i="18"/>
  <c r="AU16" i="18"/>
  <c r="AT16" i="18"/>
  <c r="BA5" i="18"/>
  <c r="BA6" i="18"/>
  <c r="BA26" i="18"/>
  <c r="BA20" i="18"/>
  <c r="BA16" i="18"/>
  <c r="BA9" i="18"/>
  <c r="BA28" i="18"/>
  <c r="BA29" i="18"/>
  <c r="BA27" i="18"/>
  <c r="BA3" i="18"/>
  <c r="BA15" i="18"/>
  <c r="BA31" i="18"/>
  <c r="BA25" i="18"/>
  <c r="BA21" i="18"/>
  <c r="BA17" i="18"/>
  <c r="BA13" i="18"/>
  <c r="BA18" i="18"/>
  <c r="BA19" i="18"/>
  <c r="BA2" i="18"/>
  <c r="BA12" i="18"/>
  <c r="BA11" i="18"/>
  <c r="BA33" i="18"/>
  <c r="BA32" i="18"/>
  <c r="BA22" i="18"/>
  <c r="BA24" i="18"/>
  <c r="BA8" i="18"/>
  <c r="BA30" i="18"/>
  <c r="BA10" i="18"/>
  <c r="AK19" i="18"/>
  <c r="AM19" i="18" s="1"/>
  <c r="AJ19" i="18"/>
  <c r="AL19" i="18" s="1"/>
  <c r="J8" i="15"/>
  <c r="AS18" i="18" l="1"/>
  <c r="AO18" i="18"/>
  <c r="AR18" i="18"/>
  <c r="AE48" i="15" s="1"/>
  <c r="AQ18" i="18"/>
  <c r="AU18" i="18" s="1"/>
  <c r="AP18" i="18"/>
  <c r="AN18" i="18"/>
  <c r="AT18" i="18" s="1"/>
  <c r="J5" i="23"/>
  <c r="AF24" i="15"/>
  <c r="AC49" i="23"/>
  <c r="AC57" i="23"/>
  <c r="J4" i="23"/>
  <c r="J10" i="23" s="1"/>
  <c r="D3" i="22" s="1"/>
  <c r="AR18" i="24"/>
  <c r="AE48" i="21" s="1"/>
  <c r="AP18" i="24"/>
  <c r="AN18" i="24"/>
  <c r="AT18" i="24" s="1"/>
  <c r="AS18" i="24"/>
  <c r="AF48" i="21" s="1"/>
  <c r="AQ18" i="24"/>
  <c r="AU18" i="24" s="1"/>
  <c r="AO18" i="24"/>
  <c r="AE34" i="21"/>
  <c r="AF34" i="21"/>
  <c r="AE24" i="15"/>
  <c r="AC25" i="15" s="1"/>
  <c r="AF48" i="15"/>
  <c r="AE30" i="15"/>
  <c r="AE33" i="15"/>
  <c r="AF32" i="15"/>
  <c r="AE31" i="15"/>
  <c r="AE24" i="21"/>
  <c r="AF24" i="21"/>
  <c r="AF30" i="15"/>
  <c r="AF33" i="15"/>
  <c r="AE32" i="15"/>
  <c r="AF31" i="15"/>
  <c r="AR17" i="18"/>
  <c r="AS17" i="18"/>
  <c r="AS16" i="18"/>
  <c r="AR16" i="18"/>
  <c r="AE42" i="21" s="1"/>
  <c r="AS19" i="18"/>
  <c r="AR19" i="18"/>
  <c r="AQ19" i="18"/>
  <c r="AO19" i="18"/>
  <c r="AP19" i="18"/>
  <c r="AN19" i="18"/>
  <c r="AF34" i="15" l="1"/>
  <c r="AC49" i="15"/>
  <c r="AC49" i="21"/>
  <c r="AC35" i="21"/>
  <c r="AC57" i="21"/>
  <c r="AF42" i="21"/>
  <c r="AC43" i="21" s="1"/>
  <c r="AE34" i="15"/>
  <c r="AC35" i="15" s="1"/>
  <c r="AF40" i="15"/>
  <c r="AE41" i="15"/>
  <c r="AF55" i="15"/>
  <c r="AE55" i="15"/>
  <c r="J9" i="15" s="1"/>
  <c r="AE40" i="15"/>
  <c r="J4" i="21"/>
  <c r="AF41" i="15"/>
  <c r="AF42" i="15" s="1"/>
  <c r="AC25" i="21"/>
  <c r="AU19" i="18"/>
  <c r="AT19" i="18"/>
  <c r="AC57" i="15" l="1"/>
  <c r="AE42" i="15"/>
  <c r="J4" i="15" s="1"/>
  <c r="J5" i="21"/>
  <c r="J10" i="21" s="1"/>
  <c r="D2" i="22" s="1"/>
  <c r="AC43" i="15"/>
  <c r="J5" i="15"/>
  <c r="E2" i="22" l="1"/>
  <c r="E3" i="22"/>
  <c r="J10" i="15"/>
  <c r="A8" i="10"/>
</calcChain>
</file>

<file path=xl/comments1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.xml><?xml version="1.0" encoding="utf-8"?>
<comments xmlns="http://schemas.openxmlformats.org/spreadsheetml/2006/main">
  <authors>
    <author>SMolina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SMolina:</t>
        </r>
        <r>
          <rPr>
            <sz val="9"/>
            <color indexed="81"/>
            <rFont val="Tahoma"/>
            <family val="2"/>
          </rPr>
          <t xml:space="preserve">
Fecha y Hora GMT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SMolina:</t>
        </r>
        <r>
          <rPr>
            <sz val="9"/>
            <color indexed="81"/>
            <rFont val="Tahoma"/>
            <family val="2"/>
          </rPr>
          <t xml:space="preserve">
Fecha y Hora GMT</t>
        </r>
      </text>
    </comment>
  </commentList>
</comments>
</file>

<file path=xl/comments3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4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5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6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7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8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9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0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1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2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3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4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5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6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7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8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19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0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1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2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3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4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5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6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7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8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29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30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comments31.xml><?xml version="1.0" encoding="utf-8"?>
<comments xmlns="http://schemas.openxmlformats.org/spreadsheetml/2006/main">
  <authors>
    <author>SMolina</author>
  </authors>
  <commentList>
    <comment ref="J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K15" authorId="0">
      <text>
        <r>
          <rPr>
            <sz val="9"/>
            <color indexed="81"/>
            <rFont val="Tahoma"/>
            <family val="2"/>
          </rPr>
          <t>Marcador</t>
        </r>
      </text>
    </comment>
    <comment ref="AC15" authorId="0">
      <text>
        <r>
          <rPr>
            <sz val="9"/>
            <color indexed="81"/>
            <rFont val="Tahoma"/>
            <family val="2"/>
          </rPr>
          <t>Equipo 1</t>
        </r>
      </text>
    </comment>
    <comment ref="AD15" authorId="0">
      <text>
        <r>
          <rPr>
            <sz val="9"/>
            <color indexed="81"/>
            <rFont val="Tahoma"/>
            <family val="2"/>
          </rPr>
          <t>Equipo 2</t>
        </r>
      </text>
    </comment>
    <comment ref="AE15" authorId="0">
      <text>
        <r>
          <rPr>
            <sz val="9"/>
            <color indexed="81"/>
            <rFont val="Tahoma"/>
            <family val="2"/>
          </rPr>
          <t>Resultado</t>
        </r>
      </text>
    </comment>
    <comment ref="AF15" authorId="0">
      <text>
        <r>
          <rPr>
            <sz val="9"/>
            <color indexed="81"/>
            <rFont val="Tahoma"/>
            <family val="2"/>
          </rPr>
          <t>Marcador</t>
        </r>
      </text>
    </comment>
  </commentList>
</comments>
</file>

<file path=xl/sharedStrings.xml><?xml version="1.0" encoding="utf-8"?>
<sst xmlns="http://schemas.openxmlformats.org/spreadsheetml/2006/main" count="15924" uniqueCount="672">
  <si>
    <t>20ª COPA DEL MUNDO FIFA</t>
  </si>
  <si>
    <t>12 de Junio - 13 de Julio de 2014</t>
  </si>
  <si>
    <t>BRASIL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</si>
  <si>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</si>
  <si>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</si>
  <si>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</si>
  <si>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</si>
  <si>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</si>
  <si>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</si>
  <si>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</si>
  <si>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</si>
  <si>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Octavos de Final</t>
  </si>
  <si>
    <t>SemiFinal</t>
  </si>
  <si>
    <t>FINAL</t>
  </si>
  <si>
    <t>Venezuela - Venezuelan Standard Time</t>
  </si>
  <si>
    <t>Fixture ( para imprimir )</t>
  </si>
  <si>
    <t>Ver Quiniela</t>
  </si>
  <si>
    <t>BRASIL 2014 - Primera fase</t>
  </si>
  <si>
    <t>PROGRAMA DE PARTIDOS</t>
  </si>
  <si>
    <r>
      <t xml:space="preserve">GRUPO </t>
    </r>
    <r>
      <rPr>
        <b/>
        <sz val="22"/>
        <color indexed="47"/>
        <rFont val="Verdana"/>
        <family val="2"/>
      </rPr>
      <t>A</t>
    </r>
  </si>
  <si>
    <t>sede</t>
  </si>
  <si>
    <t>día</t>
  </si>
  <si>
    <t>hora</t>
  </si>
  <si>
    <t>obs</t>
  </si>
  <si>
    <t>-</t>
  </si>
  <si>
    <t>Brasil</t>
  </si>
  <si>
    <t>Croacia</t>
  </si>
  <si>
    <t>México</t>
  </si>
  <si>
    <t>Camerún</t>
  </si>
  <si>
    <t>Clasificación Manual</t>
  </si>
  <si>
    <t>POSICIONES</t>
  </si>
  <si>
    <t>J</t>
  </si>
  <si>
    <t>G</t>
  </si>
  <si>
    <t>E</t>
  </si>
  <si>
    <t>P</t>
  </si>
  <si>
    <t>GF</t>
  </si>
  <si>
    <t>GC</t>
  </si>
  <si>
    <t>DIF</t>
  </si>
  <si>
    <t>PTS</t>
  </si>
  <si>
    <r>
      <t>avanza a octavos de final</t>
    </r>
    <r>
      <rPr>
        <sz val="8"/>
        <color indexed="60"/>
        <rFont val="Arial Narrow"/>
        <family val="2"/>
      </rPr>
      <t xml:space="preserve"> </t>
    </r>
    <r>
      <rPr>
        <b/>
        <sz val="8"/>
        <color indexed="60"/>
        <rFont val="Wingdings"/>
        <charset val="2"/>
      </rPr>
      <t>Ø</t>
    </r>
  </si>
  <si>
    <t>fecha y hora actual:</t>
  </si>
  <si>
    <t>Menu Principal</t>
  </si>
  <si>
    <r>
      <t xml:space="preserve">GRUPO </t>
    </r>
    <r>
      <rPr>
        <b/>
        <sz val="22"/>
        <color indexed="47"/>
        <rFont val="Arial"/>
        <family val="2"/>
      </rPr>
      <t>B</t>
    </r>
  </si>
  <si>
    <t>España</t>
  </si>
  <si>
    <t>Países Bajos</t>
  </si>
  <si>
    <t>Chile</t>
  </si>
  <si>
    <t>Australia</t>
  </si>
  <si>
    <r>
      <t xml:space="preserve">avanza a octavos de final </t>
    </r>
    <r>
      <rPr>
        <b/>
        <sz val="8"/>
        <color indexed="60"/>
        <rFont val="Wingdings"/>
        <charset val="2"/>
      </rPr>
      <t>Ø</t>
    </r>
  </si>
  <si>
    <r>
      <t xml:space="preserve">GRUPO </t>
    </r>
    <r>
      <rPr>
        <b/>
        <sz val="22"/>
        <color indexed="47"/>
        <rFont val="Arial"/>
        <family val="2"/>
      </rPr>
      <t>C</t>
    </r>
  </si>
  <si>
    <t>Colombia</t>
  </si>
  <si>
    <t>Grecia</t>
  </si>
  <si>
    <t>Costa de Marfil</t>
  </si>
  <si>
    <t>Japón</t>
  </si>
  <si>
    <r>
      <t xml:space="preserve">GRUPO </t>
    </r>
    <r>
      <rPr>
        <b/>
        <sz val="22"/>
        <color indexed="47"/>
        <rFont val="Arial"/>
        <family val="2"/>
      </rPr>
      <t>D</t>
    </r>
  </si>
  <si>
    <t>Uruguay</t>
  </si>
  <si>
    <t>Costa Rica</t>
  </si>
  <si>
    <t>Inglaterra</t>
  </si>
  <si>
    <t>Italia</t>
  </si>
  <si>
    <r>
      <t xml:space="preserve">GRUPO </t>
    </r>
    <r>
      <rPr>
        <b/>
        <sz val="22"/>
        <color indexed="47"/>
        <rFont val="Arial"/>
        <family val="2"/>
      </rPr>
      <t>E</t>
    </r>
  </si>
  <si>
    <t>Suiza</t>
  </si>
  <si>
    <t>Ecuador</t>
  </si>
  <si>
    <t>Francia</t>
  </si>
  <si>
    <t>Honduras</t>
  </si>
  <si>
    <r>
      <t xml:space="preserve">GRUPO </t>
    </r>
    <r>
      <rPr>
        <b/>
        <sz val="22"/>
        <color indexed="47"/>
        <rFont val="Arial"/>
        <family val="2"/>
      </rPr>
      <t>F</t>
    </r>
  </si>
  <si>
    <t>Argentina</t>
  </si>
  <si>
    <t>Bosnia-Herzegovina</t>
  </si>
  <si>
    <t>Irán</t>
  </si>
  <si>
    <t>Nigeria</t>
  </si>
  <si>
    <r>
      <t xml:space="preserve">GRUPO </t>
    </r>
    <r>
      <rPr>
        <b/>
        <sz val="22"/>
        <color indexed="47"/>
        <rFont val="Arial"/>
        <family val="2"/>
      </rPr>
      <t>G</t>
    </r>
  </si>
  <si>
    <t>Alemania</t>
  </si>
  <si>
    <t>Portugal</t>
  </si>
  <si>
    <t>Ghana</t>
  </si>
  <si>
    <t>EEUU</t>
  </si>
  <si>
    <r>
      <t xml:space="preserve">GRUPO </t>
    </r>
    <r>
      <rPr>
        <b/>
        <sz val="22"/>
        <color indexed="47"/>
        <rFont val="Arial"/>
        <family val="2"/>
      </rPr>
      <t>H</t>
    </r>
  </si>
  <si>
    <t>Bélgica</t>
  </si>
  <si>
    <t>Argelia</t>
  </si>
  <si>
    <t>Rusia</t>
  </si>
  <si>
    <t>República de Corea</t>
  </si>
  <si>
    <t>sede / fecha / hora</t>
  </si>
  <si>
    <t>resultado</t>
  </si>
  <si>
    <t>penales</t>
  </si>
  <si>
    <t>a cuartos de final</t>
  </si>
  <si>
    <t>a semifinal</t>
  </si>
  <si>
    <t>final</t>
  </si>
  <si>
    <t>3er puesto</t>
  </si>
  <si>
    <t>F I N A L</t>
  </si>
  <si>
    <t>CAMPEON</t>
  </si>
  <si>
    <t>Final</t>
  </si>
  <si>
    <t>SISTEMA DE PUNTUACIÓN</t>
  </si>
  <si>
    <t>CONCEPTO</t>
  </si>
  <si>
    <t>PUNTOS</t>
  </si>
  <si>
    <t>Por resultado acertado en primera fase</t>
  </si>
  <si>
    <t>Por marcador acertado en primera fase</t>
  </si>
  <si>
    <t>Por resultado acertado en fase eliminatoria</t>
  </si>
  <si>
    <t>Por marcador acertado en fase eliminatoria</t>
  </si>
  <si>
    <t>Por equipo clasificado a octavos de final</t>
  </si>
  <si>
    <t>Por equipo clasificado a cuartos de final</t>
  </si>
  <si>
    <t>Por equipo clasificado a semifinales</t>
  </si>
  <si>
    <t>Por equipo campeón</t>
  </si>
  <si>
    <t>Nº</t>
  </si>
  <si>
    <t>Fecha</t>
  </si>
  <si>
    <t>Hora</t>
  </si>
  <si>
    <t>Lugar</t>
  </si>
  <si>
    <t>Equipo 1</t>
  </si>
  <si>
    <t>Equipo 2</t>
  </si>
  <si>
    <t>Grupo</t>
  </si>
  <si>
    <t>Fecha Local</t>
  </si>
  <si>
    <t>Hora Local</t>
  </si>
  <si>
    <t>BR</t>
  </si>
  <si>
    <t>São Paulo</t>
  </si>
  <si>
    <t>1ª</t>
  </si>
  <si>
    <t>Mexico</t>
  </si>
  <si>
    <t>MX</t>
  </si>
  <si>
    <t>Seleccionar Zona Horaria:</t>
  </si>
  <si>
    <t xml:space="preserve">Natal </t>
  </si>
  <si>
    <t>HR</t>
  </si>
  <si>
    <t>Afganistán - Afghanistan Time</t>
  </si>
  <si>
    <t>Fortaleza</t>
  </si>
  <si>
    <t>2ª</t>
  </si>
  <si>
    <t>Camerun</t>
  </si>
  <si>
    <t>CM</t>
  </si>
  <si>
    <t>Albania - Central European Time</t>
  </si>
  <si>
    <t>Manaos</t>
  </si>
  <si>
    <t>ES</t>
  </si>
  <si>
    <t>Alemania - Central European Time</t>
  </si>
  <si>
    <t>Brasilia</t>
  </si>
  <si>
    <t>3ª</t>
  </si>
  <si>
    <t>CL</t>
  </si>
  <si>
    <t>Andorra - Central European Time</t>
  </si>
  <si>
    <t>Recife</t>
  </si>
  <si>
    <t>Holanda</t>
  </si>
  <si>
    <t>NL</t>
  </si>
  <si>
    <t>Angola - West Africa Time</t>
  </si>
  <si>
    <t>Salvador</t>
  </si>
  <si>
    <t>AU</t>
  </si>
  <si>
    <t>Antigua y Barbuda - Atlantic Standard Time</t>
  </si>
  <si>
    <t>Cuiabá</t>
  </si>
  <si>
    <t>CO</t>
  </si>
  <si>
    <t>Arabia Saudí - Arab Standard Time</t>
  </si>
  <si>
    <t>Río de Janeiro</t>
  </si>
  <si>
    <t>CostaDeMarfil</t>
  </si>
  <si>
    <t>CI</t>
  </si>
  <si>
    <t>Argelia - Central European Time</t>
  </si>
  <si>
    <t>Porto Alegre</t>
  </si>
  <si>
    <t>GR</t>
  </si>
  <si>
    <t>Argentina - Argentina Time</t>
  </si>
  <si>
    <t>Curitiba</t>
  </si>
  <si>
    <t>Japon</t>
  </si>
  <si>
    <t>JP</t>
  </si>
  <si>
    <t>Armenia - Armenia Time</t>
  </si>
  <si>
    <t>UY</t>
  </si>
  <si>
    <t>Aruba - Atlantic Standard Time</t>
  </si>
  <si>
    <t>Belo Horizonte</t>
  </si>
  <si>
    <t>ENG</t>
  </si>
  <si>
    <t>Australia - Australian Central Std Time</t>
  </si>
  <si>
    <t>CostaRica</t>
  </si>
  <si>
    <t>CR</t>
  </si>
  <si>
    <t>Australia - Norfolk Time</t>
  </si>
  <si>
    <t>IT</t>
  </si>
  <si>
    <t>Australia - Australian Eastern Std Time</t>
  </si>
  <si>
    <t>CH</t>
  </si>
  <si>
    <t>Australia - Australian Western Std Time</t>
  </si>
  <si>
    <t>EC</t>
  </si>
  <si>
    <t>Austria - Central European Time</t>
  </si>
  <si>
    <t>HN</t>
  </si>
  <si>
    <t>Azerbaiján - Azerbaijan Time</t>
  </si>
  <si>
    <t>FR</t>
  </si>
  <si>
    <t>Bahamas - Eastern Standard Time</t>
  </si>
  <si>
    <t>AR</t>
  </si>
  <si>
    <t>Bahrein</t>
  </si>
  <si>
    <t>Bosnia</t>
  </si>
  <si>
    <t>BA</t>
  </si>
  <si>
    <t>Bangladesh - Bangladesh Standard Time</t>
  </si>
  <si>
    <t>Iran</t>
  </si>
  <si>
    <t>IR</t>
  </si>
  <si>
    <t>Barbados - Atlantic Standard Time</t>
  </si>
  <si>
    <t>NG</t>
  </si>
  <si>
    <t>Bélgica - Central European Time</t>
  </si>
  <si>
    <t>DE</t>
  </si>
  <si>
    <t>Belice</t>
  </si>
  <si>
    <t>PT</t>
  </si>
  <si>
    <t>Benín - West Africa Time</t>
  </si>
  <si>
    <t>GH</t>
  </si>
  <si>
    <t>Bermudas - Atlantic Standard Time</t>
  </si>
  <si>
    <t>Usa</t>
  </si>
  <si>
    <t>US</t>
  </si>
  <si>
    <t>Belarús - Eastern European Time</t>
  </si>
  <si>
    <t>Belgica</t>
  </si>
  <si>
    <t>BE</t>
  </si>
  <si>
    <t>Bolivia - Bolivia Time</t>
  </si>
  <si>
    <t>DZ</t>
  </si>
  <si>
    <t>Bosnia Herzegovina - Central European Time</t>
  </si>
  <si>
    <t>RU</t>
  </si>
  <si>
    <t>Botswana - Central Africa Time</t>
  </si>
  <si>
    <t>CoreaDelSur</t>
  </si>
  <si>
    <t>KR</t>
  </si>
  <si>
    <t>Brasil - Brasilia Time +1</t>
  </si>
  <si>
    <t>Sin Datos</t>
  </si>
  <si>
    <t>SinDatos</t>
  </si>
  <si>
    <t>Brasil - Brasilia Time</t>
  </si>
  <si>
    <t>Brasil - Brasilia Time −1</t>
  </si>
  <si>
    <t>Brunei - Brunei Time</t>
  </si>
  <si>
    <t>Bulgaria - Eastern European Time</t>
  </si>
  <si>
    <t>Burkina Faso - Greenwich Mean Time</t>
  </si>
  <si>
    <t>Burundi - Central Africa Time</t>
  </si>
  <si>
    <t>Bután - Bhutan Time</t>
  </si>
  <si>
    <t>Cabo Verde - Cape Verde Time</t>
  </si>
  <si>
    <t>Camboya</t>
  </si>
  <si>
    <t>Camerún - West Africa Time</t>
  </si>
  <si>
    <t>Canadá - Mountain Standard Time</t>
  </si>
  <si>
    <t>Canadá - Central Standard Time</t>
  </si>
  <si>
    <t>Canadá - Pacific Standard Time</t>
  </si>
  <si>
    <t>Canadá - Newfoundland Time</t>
  </si>
  <si>
    <t>Canadá - Atlantic Standard Time</t>
  </si>
  <si>
    <t>Canadá - Eastern Standard Time</t>
  </si>
  <si>
    <t>Chad - Cape Verde Time</t>
  </si>
  <si>
    <t>1A</t>
  </si>
  <si>
    <t>2B</t>
  </si>
  <si>
    <t>Octavos de final</t>
  </si>
  <si>
    <t>Chile - Chile Standard Time</t>
  </si>
  <si>
    <t>1C</t>
  </si>
  <si>
    <t>2D</t>
  </si>
  <si>
    <t>Chile - Easter Island Standard Time</t>
  </si>
  <si>
    <t>1B</t>
  </si>
  <si>
    <t>2A</t>
  </si>
  <si>
    <t>China - China Standard Time</t>
  </si>
  <si>
    <t>1D</t>
  </si>
  <si>
    <t>2C</t>
  </si>
  <si>
    <t>Chipre - Eastern European Time</t>
  </si>
  <si>
    <t>1E</t>
  </si>
  <si>
    <t>2F</t>
  </si>
  <si>
    <t>Colombia - Colombia Time</t>
  </si>
  <si>
    <t>1G</t>
  </si>
  <si>
    <t>2H</t>
  </si>
  <si>
    <t>Comores - East Africa Time</t>
  </si>
  <si>
    <t>1F</t>
  </si>
  <si>
    <t>2E</t>
  </si>
  <si>
    <t>Congo - West Africa Time</t>
  </si>
  <si>
    <t>1H</t>
  </si>
  <si>
    <t>2G</t>
  </si>
  <si>
    <t>Congo (República Democrática) - Central Africa Time</t>
  </si>
  <si>
    <t>W49</t>
  </si>
  <si>
    <t>W50</t>
  </si>
  <si>
    <t>Cuartos de final</t>
  </si>
  <si>
    <t>Congo (República Democrática) - West Africa Time</t>
  </si>
  <si>
    <t>W53</t>
  </si>
  <si>
    <t>W54</t>
  </si>
  <si>
    <t>Corea del Norte - Korea Standard Time</t>
  </si>
  <si>
    <t>W51</t>
  </si>
  <si>
    <t>W52</t>
  </si>
  <si>
    <t>Corea del Sur - Korea Standard Time</t>
  </si>
  <si>
    <t>W55</t>
  </si>
  <si>
    <t>W56</t>
  </si>
  <si>
    <t>Costa de Marfil - Greenwich Mean Time</t>
  </si>
  <si>
    <t>W57</t>
  </si>
  <si>
    <t>W58</t>
  </si>
  <si>
    <t>Semifinales</t>
  </si>
  <si>
    <t>W59</t>
  </si>
  <si>
    <t>W60</t>
  </si>
  <si>
    <t>Croacia - Central European Time</t>
  </si>
  <si>
    <t>L61</t>
  </si>
  <si>
    <t>L62</t>
  </si>
  <si>
    <t>tercer puesto</t>
  </si>
  <si>
    <t>Cuba</t>
  </si>
  <si>
    <t>W61</t>
  </si>
  <si>
    <t>W62</t>
  </si>
  <si>
    <t>Dinamarca - Central European Time</t>
  </si>
  <si>
    <t>Dominica - Atlantic Standard Time</t>
  </si>
  <si>
    <t>Ecuador - Galápagos Time</t>
  </si>
  <si>
    <t>Ecuador - Ecuador Time</t>
  </si>
  <si>
    <t>Egipto - Eastern European Time</t>
  </si>
  <si>
    <t>El Salvador</t>
  </si>
  <si>
    <t>El Vaticano - Central European Time</t>
  </si>
  <si>
    <t>Emiratos Árabes Unidos - Arabian Standard Time</t>
  </si>
  <si>
    <t>Eritrea - East Africa Time</t>
  </si>
  <si>
    <t>Eslovaquia - Central European Time</t>
  </si>
  <si>
    <t>Eslovenia - Central European Time</t>
  </si>
  <si>
    <t>España (Islas Canarias) - Western European Time</t>
  </si>
  <si>
    <t>España - Central European Time</t>
  </si>
  <si>
    <t>Estados Unidos - Alaska Standard Time</t>
  </si>
  <si>
    <t>Estados Unidos - Mountain Standard Time</t>
  </si>
  <si>
    <t>Estados Unidos - Eastern Standard Time</t>
  </si>
  <si>
    <t>Estados Unidos - Hawaii Standard Time</t>
  </si>
  <si>
    <t>Estados Unidos - Central Standard Time</t>
  </si>
  <si>
    <t>Estados Unidos - Pacific Standard Time</t>
  </si>
  <si>
    <t>Estonia - Eastern European Time</t>
  </si>
  <si>
    <t>Etiopía - East Africa Time</t>
  </si>
  <si>
    <t>Filipinas</t>
  </si>
  <si>
    <t>Finlandia - Eastern European Time</t>
  </si>
  <si>
    <t>Fiji - Fiji Time</t>
  </si>
  <si>
    <t>Francia - Central European Time</t>
  </si>
  <si>
    <t>Guyana Francesa - French Guiana Time</t>
  </si>
  <si>
    <t>Gabón - West Africa Time</t>
  </si>
  <si>
    <t>Gambia - Greenwich Mean Time</t>
  </si>
  <si>
    <t>Georgia</t>
  </si>
  <si>
    <t>Ghana - Greenwich Mean Time</t>
  </si>
  <si>
    <t>Gibraltar - Central European Time</t>
  </si>
  <si>
    <t>Granada - Atlantic Standard Time</t>
  </si>
  <si>
    <t>Grecia - Eastern European Time</t>
  </si>
  <si>
    <t>Groenlandia - Central Greenland</t>
  </si>
  <si>
    <t>Groenlandia - Ittoqqortoormiit, Tunu</t>
  </si>
  <si>
    <t>Groenlandia - Northwestern Greenland</t>
  </si>
  <si>
    <t>Groenlandia - Greenwich Mean Time</t>
  </si>
  <si>
    <t>Guadalupe - Atlantic Standard Time</t>
  </si>
  <si>
    <t>Guatemala</t>
  </si>
  <si>
    <t>Guernsey - Greenwich Mean Time</t>
  </si>
  <si>
    <t>Guinea - Greenwich Mean Time</t>
  </si>
  <si>
    <t>Guinea Ecuatorial - West Africa Time</t>
  </si>
  <si>
    <t>Guinea-Bissau - Greenwich Mean Time</t>
  </si>
  <si>
    <t>Guyana - Guyana Time</t>
  </si>
  <si>
    <t>Haití</t>
  </si>
  <si>
    <t>Hong Kong - Hong Kong Time</t>
  </si>
  <si>
    <t>Hungría - Central European Time</t>
  </si>
  <si>
    <t>India - Indian Standard Time</t>
  </si>
  <si>
    <t>Indonesia - Eastern Indonesian Time</t>
  </si>
  <si>
    <t>Indonesia - Central Indonesian Time</t>
  </si>
  <si>
    <t>Indonesia - Western Indonesian Time</t>
  </si>
  <si>
    <t>Irán - Iran Standard Time</t>
  </si>
  <si>
    <t>Irak</t>
  </si>
  <si>
    <t>Irlanda - Western European Time</t>
  </si>
  <si>
    <t>Isla de Man - Greenwich Mean Time</t>
  </si>
  <si>
    <t>Islandia - Greenwich Mean Time</t>
  </si>
  <si>
    <t>Islas Caimán</t>
  </si>
  <si>
    <t>Islas Marshall</t>
  </si>
  <si>
    <t>Islas Salomón - Solomon Islands Time</t>
  </si>
  <si>
    <t>Islas Vírgenes Británicas - Atlantic Standard Time</t>
  </si>
  <si>
    <t>Israel - Israel Standard Time</t>
  </si>
  <si>
    <t>Italia - Central European Time</t>
  </si>
  <si>
    <t>Jamaica</t>
  </si>
  <si>
    <t>Japón - Japan Standard Time</t>
  </si>
  <si>
    <t>Jersey - Greenwich Mean Time</t>
  </si>
  <si>
    <t>Jordania</t>
  </si>
  <si>
    <t>Kazajistán - Eastern Kazakhstan Time</t>
  </si>
  <si>
    <t>Kazajistán - Western Kazakhstan Time</t>
  </si>
  <si>
    <t>Kenia - East Africa Time</t>
  </si>
  <si>
    <t>Kirguizistán</t>
  </si>
  <si>
    <t>Kiribati - Phoenix Island Time</t>
  </si>
  <si>
    <t>Kiribati - Line Islands Time</t>
  </si>
  <si>
    <t>Kiribati - Gilbert Island Time</t>
  </si>
  <si>
    <t>Kosovo - Central European Time</t>
  </si>
  <si>
    <t>Kuwait - Arab Standard Time</t>
  </si>
  <si>
    <t>Laos</t>
  </si>
  <si>
    <t>Lesoto</t>
  </si>
  <si>
    <t>Letonia - Eastern European Time</t>
  </si>
  <si>
    <t>Líbano - Eastern European Time</t>
  </si>
  <si>
    <t>Liberia - Greenwich Mean Time</t>
  </si>
  <si>
    <t>Libia - Eastern European Time</t>
  </si>
  <si>
    <t>Liechtenstein - Central European Time</t>
  </si>
  <si>
    <t>Lituania - Eastern European Time</t>
  </si>
  <si>
    <t>Luxemburgo - Central European Time</t>
  </si>
  <si>
    <t>Macao - Macau Standard Time</t>
  </si>
  <si>
    <t>Macedonia - Central European Time</t>
  </si>
  <si>
    <t>Madagascar - East Africa Time</t>
  </si>
  <si>
    <t>Malasia - Malaysian Standard Time</t>
  </si>
  <si>
    <t>Malawi - Central Africa Time</t>
  </si>
  <si>
    <t>Maldivas</t>
  </si>
  <si>
    <t>Malí - Greenwich Mean Time</t>
  </si>
  <si>
    <t>Malta - Central European Time</t>
  </si>
  <si>
    <t>Marruecos - Western European Time</t>
  </si>
  <si>
    <t>Martinica - Atlantic Standard Time</t>
  </si>
  <si>
    <t>Mauricio - Mauritius Time</t>
  </si>
  <si>
    <t>Mauritania - Greenwich Mean Time</t>
  </si>
  <si>
    <t>Mayotte</t>
  </si>
  <si>
    <t>México - Central Zone</t>
  </si>
  <si>
    <t>México - Northwest Zone</t>
  </si>
  <si>
    <t>México - Pacific Zone</t>
  </si>
  <si>
    <t>Micronesia - Chuuk, Yap</t>
  </si>
  <si>
    <t>Micronesia - Kosrae, Pohnpei</t>
  </si>
  <si>
    <t>Moldavia - Eastern European Time</t>
  </si>
  <si>
    <t>Mónaco - Central European Time</t>
  </si>
  <si>
    <t>Mongolia - Khovd, Uvs, Bayan-Ölgii</t>
  </si>
  <si>
    <t>Mongolia</t>
  </si>
  <si>
    <t>Montenegro - Central European Time</t>
  </si>
  <si>
    <t>Mozambique - Central Africa Time</t>
  </si>
  <si>
    <t>Myanmar - Myanmar Standard Time</t>
  </si>
  <si>
    <t>Namibia - West Africa Time</t>
  </si>
  <si>
    <t>Nauru</t>
  </si>
  <si>
    <t>Nepal - Nepal Time</t>
  </si>
  <si>
    <t>New Caledonia</t>
  </si>
  <si>
    <t>Nicaragua</t>
  </si>
  <si>
    <t>Níger - West Africa Time</t>
  </si>
  <si>
    <t>Nigeria - West Africa Time</t>
  </si>
  <si>
    <t>Noruega - Central European Time</t>
  </si>
  <si>
    <t>Nueva Zelanda</t>
  </si>
  <si>
    <t>Omán</t>
  </si>
  <si>
    <t>Países Bajos - Central European Time</t>
  </si>
  <si>
    <t>Pakistán - Pakistan Standard Time</t>
  </si>
  <si>
    <t>Palaos</t>
  </si>
  <si>
    <t>Panamá</t>
  </si>
  <si>
    <t>Papúa-Nueva Guinea</t>
  </si>
  <si>
    <t>Paraguay</t>
  </si>
  <si>
    <t>Perú</t>
  </si>
  <si>
    <t>Polinesia Francesa - Tahiti Time</t>
  </si>
  <si>
    <t>Polinesia Francesa</t>
  </si>
  <si>
    <t>Polonia - Central European Time</t>
  </si>
  <si>
    <t>Portugal - Azores Standard Time</t>
  </si>
  <si>
    <t>Portugal - Western European Time</t>
  </si>
  <si>
    <t>Puerto Rico - Atlantic Standard Time</t>
  </si>
  <si>
    <t>Qatar - Arab Standard Time</t>
  </si>
  <si>
    <t>Reino Unido - Greenwich Mean Time</t>
  </si>
  <si>
    <t>República Centroafricana - West Africa Time</t>
  </si>
  <si>
    <t>República Checa - Central European Time</t>
  </si>
  <si>
    <t>República Dominicana - Atlantic Standard Time</t>
  </si>
  <si>
    <t>Reunion - Reunion Time</t>
  </si>
  <si>
    <t>Ruanda - Central Africa Time</t>
  </si>
  <si>
    <t>Rumania - Eastern European Time</t>
  </si>
  <si>
    <t>Rusia - Kaliningrad Time (Eastern European Time)</t>
  </si>
  <si>
    <t>Rusia - Moscow Standard Time</t>
  </si>
  <si>
    <t>Rusia - Yakutsk Time</t>
  </si>
  <si>
    <t>Rusia - Irkutsk Time</t>
  </si>
  <si>
    <t>Rusia - Samara Time</t>
  </si>
  <si>
    <t>Rusia - Yekaterinburg Time</t>
  </si>
  <si>
    <t>Rusia - Vladivostok Time</t>
  </si>
  <si>
    <t>Rusia - Omsk Time</t>
  </si>
  <si>
    <t>Rusia - Magadan Time</t>
  </si>
  <si>
    <t>Rusia - Krasnoyarsk Time</t>
  </si>
  <si>
    <t>Rusia - Kamchatka Time</t>
  </si>
  <si>
    <t>Samoa</t>
  </si>
  <si>
    <t>San Bartolomé - Atlantic Standard Time</t>
  </si>
  <si>
    <t>San Cristóbal y Nieves - Atlantic Standard Time</t>
  </si>
  <si>
    <t>San Marino - Central European Time</t>
  </si>
  <si>
    <t>San Martín - Atlantic Standard Time</t>
  </si>
  <si>
    <t>San Pedro y Miguelón</t>
  </si>
  <si>
    <t>San Vicente y las Granadinas - Atlantic Standard Time</t>
  </si>
  <si>
    <t>Santa Lucía - Atlantic Standard Time</t>
  </si>
  <si>
    <t>Santo Tomé y Príncipe - Greenwich Mean Time</t>
  </si>
  <si>
    <t>Senegal - Greenwich Mean Time</t>
  </si>
  <si>
    <t>Serbia - Central European Time</t>
  </si>
  <si>
    <t>Seychelles - Seychelles Time</t>
  </si>
  <si>
    <t>Sierra Leona - Greenwich Mean Time</t>
  </si>
  <si>
    <t>Singapur - Singapore Standard Time</t>
  </si>
  <si>
    <t>Siria - Eastern European Time</t>
  </si>
  <si>
    <t>Somalia - East Africa Time</t>
  </si>
  <si>
    <t>Sri Lanka - Sri Lanka Time</t>
  </si>
  <si>
    <t>Suazilandia</t>
  </si>
  <si>
    <t>Sudáfrica - South African Standard Time</t>
  </si>
  <si>
    <t>Sudán - East Africa Time</t>
  </si>
  <si>
    <t>Suecia - Central European Time</t>
  </si>
  <si>
    <t>Suiza - Central European Time</t>
  </si>
  <si>
    <t>Surinam</t>
  </si>
  <si>
    <t>Tailandia - Thailand Standard Time</t>
  </si>
  <si>
    <t>Tanzania - East Africa Time</t>
  </si>
  <si>
    <t>Tajikistán</t>
  </si>
  <si>
    <t>Timor Oriental</t>
  </si>
  <si>
    <t>Togo - Greenwich Mean Time</t>
  </si>
  <si>
    <t>Tonga</t>
  </si>
  <si>
    <t>Trinidad y Tobago - Atlantic Standard Time</t>
  </si>
  <si>
    <t>Túnez - Central European Time</t>
  </si>
  <si>
    <t>Turcas y Caicos</t>
  </si>
  <si>
    <t>Turkmenistán</t>
  </si>
  <si>
    <t>Turquía - Eastern European Time</t>
  </si>
  <si>
    <t>Tuvalu</t>
  </si>
  <si>
    <t>Ucrania - Eastern European Time</t>
  </si>
  <si>
    <t>Uganda - East Africa Time</t>
  </si>
  <si>
    <t>Uruguay - Uruguay Standard Time</t>
  </si>
  <si>
    <t>Uzbekistán - Uzbekistan Time</t>
  </si>
  <si>
    <t>Vanuatu</t>
  </si>
  <si>
    <t>Vietnam</t>
  </si>
  <si>
    <t>Wallis y Futuna</t>
  </si>
  <si>
    <t>Yemen</t>
  </si>
  <si>
    <t>Yibuti - East Africa Time</t>
  </si>
  <si>
    <t>Zambia - Central Africa Time</t>
  </si>
  <si>
    <t>Zimbabwe - Central Africa Time</t>
  </si>
  <si>
    <t>OCTAVOS DE FINAL</t>
  </si>
  <si>
    <t>Equipo</t>
  </si>
  <si>
    <t>PJ</t>
  </si>
  <si>
    <t>PG</t>
  </si>
  <si>
    <t>% PG</t>
  </si>
  <si>
    <t>PE</t>
  </si>
  <si>
    <t>% PE</t>
  </si>
  <si>
    <t>PP</t>
  </si>
  <si>
    <t>% PP</t>
  </si>
  <si>
    <t>Pts/P</t>
  </si>
  <si>
    <t>GF/P</t>
  </si>
  <si>
    <t>GC/P</t>
  </si>
  <si>
    <t>Dif/P</t>
  </si>
  <si>
    <t>Sorteo FIFA</t>
  </si>
  <si>
    <t>Fifa</t>
  </si>
  <si>
    <t>BRASIL 2014</t>
  </si>
  <si>
    <t>QUINIELA</t>
  </si>
  <si>
    <t>Juego</t>
  </si>
  <si>
    <t>G1</t>
  </si>
  <si>
    <t>P1</t>
  </si>
  <si>
    <t>P2</t>
  </si>
  <si>
    <t>G2</t>
  </si>
  <si>
    <t>Gano</t>
  </si>
  <si>
    <t>Perdio</t>
  </si>
  <si>
    <t>Resultado</t>
  </si>
  <si>
    <t>Marcador</t>
  </si>
  <si>
    <t/>
  </si>
  <si>
    <t>ESTADÍSTICAS</t>
  </si>
  <si>
    <t>POS</t>
  </si>
  <si>
    <t>Pts</t>
  </si>
  <si>
    <t>Puntaje</t>
  </si>
  <si>
    <t>Por resultados primera fase</t>
  </si>
  <si>
    <t>Datos del jugador</t>
  </si>
  <si>
    <t>Por marcadores primera fase</t>
  </si>
  <si>
    <t>Por resultados fase eliminatoria</t>
  </si>
  <si>
    <t>Participante:</t>
  </si>
  <si>
    <t>Por marcadores fase eliminatoria</t>
  </si>
  <si>
    <t>Edad:</t>
  </si>
  <si>
    <r>
      <t>Copiar Quiniela (</t>
    </r>
    <r>
      <rPr>
        <b/>
        <sz val="10"/>
        <color indexed="10"/>
        <rFont val="Arial"/>
        <family val="2"/>
      </rPr>
      <t>Formato Texto</t>
    </r>
    <r>
      <rPr>
        <b/>
        <sz val="10"/>
        <color indexed="53"/>
        <rFont val="Arial"/>
        <family val="2"/>
      </rPr>
      <t>)</t>
    </r>
  </si>
  <si>
    <t>Por clasificados a octavos de final</t>
  </si>
  <si>
    <t>País:</t>
  </si>
  <si>
    <t>Por clasificados a cuartos de final</t>
  </si>
  <si>
    <t>Ciudad:</t>
  </si>
  <si>
    <r>
      <t>Crear Quiniela (</t>
    </r>
    <r>
      <rPr>
        <b/>
        <sz val="10"/>
        <color indexed="10"/>
        <rFont val="Arial"/>
        <family val="2"/>
      </rPr>
      <t>Archivo Excel</t>
    </r>
    <r>
      <rPr>
        <b/>
        <sz val="10"/>
        <color indexed="53"/>
        <rFont val="Arial"/>
        <family val="2"/>
      </rPr>
      <t>)</t>
    </r>
  </si>
  <si>
    <t>Correo:</t>
  </si>
  <si>
    <t>Por campeón</t>
  </si>
  <si>
    <t>Teléfono:</t>
  </si>
  <si>
    <t>TOTAL</t>
  </si>
  <si>
    <t>Primera Fase</t>
  </si>
  <si>
    <t>Fase eliminatoria</t>
  </si>
  <si>
    <r>
      <t xml:space="preserve">GRUPO </t>
    </r>
    <r>
      <rPr>
        <b/>
        <i/>
        <sz val="18"/>
        <color indexed="12"/>
        <rFont val="Arial"/>
        <family val="2"/>
      </rPr>
      <t>A</t>
    </r>
  </si>
  <si>
    <t>Puntos Por:</t>
  </si>
  <si>
    <r>
      <t>OCTAVOS</t>
    </r>
    <r>
      <rPr>
        <i/>
        <sz val="14"/>
        <color indexed="12"/>
        <rFont val="Arial"/>
        <family val="2"/>
      </rPr>
      <t xml:space="preserve"> DE FINAL</t>
    </r>
  </si>
  <si>
    <t>Resultados</t>
  </si>
  <si>
    <t>Propuesto</t>
  </si>
  <si>
    <t>Resul.</t>
  </si>
  <si>
    <t>Marca.</t>
  </si>
  <si>
    <t>Eq 1</t>
  </si>
  <si>
    <t>Eq 2</t>
  </si>
  <si>
    <t>vs.</t>
  </si>
  <si>
    <t>Subtotales</t>
  </si>
  <si>
    <t>Total</t>
  </si>
  <si>
    <r>
      <t xml:space="preserve">GRUPO </t>
    </r>
    <r>
      <rPr>
        <b/>
        <i/>
        <sz val="18"/>
        <color indexed="12"/>
        <rFont val="Arial"/>
        <family val="2"/>
      </rPr>
      <t>B</t>
    </r>
  </si>
  <si>
    <r>
      <t>CUARTOS</t>
    </r>
    <r>
      <rPr>
        <i/>
        <sz val="14"/>
        <color indexed="12"/>
        <rFont val="Arial"/>
        <family val="2"/>
      </rPr>
      <t xml:space="preserve"> DE FINAL</t>
    </r>
  </si>
  <si>
    <r>
      <t xml:space="preserve">GRUPO </t>
    </r>
    <r>
      <rPr>
        <b/>
        <i/>
        <sz val="18"/>
        <color indexed="12"/>
        <rFont val="Arial"/>
        <family val="2"/>
      </rPr>
      <t>C</t>
    </r>
  </si>
  <si>
    <r>
      <t>SEMI</t>
    </r>
    <r>
      <rPr>
        <i/>
        <sz val="14"/>
        <color indexed="12"/>
        <rFont val="Arial"/>
        <family val="2"/>
      </rPr>
      <t>FINALES</t>
    </r>
  </si>
  <si>
    <t>Real</t>
  </si>
  <si>
    <t>3º PUESTO</t>
  </si>
  <si>
    <r>
      <t xml:space="preserve">GRUPO </t>
    </r>
    <r>
      <rPr>
        <b/>
        <i/>
        <sz val="18"/>
        <color indexed="12"/>
        <rFont val="Arial"/>
        <family val="2"/>
      </rPr>
      <t>D</t>
    </r>
  </si>
  <si>
    <r>
      <t xml:space="preserve">GRUPO </t>
    </r>
    <r>
      <rPr>
        <b/>
        <i/>
        <sz val="18"/>
        <color indexed="12"/>
        <rFont val="Arial"/>
        <family val="2"/>
      </rPr>
      <t>E</t>
    </r>
  </si>
  <si>
    <r>
      <t xml:space="preserve">GRUPO </t>
    </r>
    <r>
      <rPr>
        <b/>
        <i/>
        <sz val="18"/>
        <color indexed="12"/>
        <rFont val="Arial"/>
        <family val="2"/>
      </rPr>
      <t>F</t>
    </r>
  </si>
  <si>
    <r>
      <t xml:space="preserve">GRUPO </t>
    </r>
    <r>
      <rPr>
        <b/>
        <i/>
        <sz val="18"/>
        <color indexed="12"/>
        <rFont val="Arial"/>
        <family val="2"/>
      </rPr>
      <t>G</t>
    </r>
  </si>
  <si>
    <r>
      <t xml:space="preserve">GRUPO </t>
    </r>
    <r>
      <rPr>
        <b/>
        <i/>
        <sz val="18"/>
        <color indexed="12"/>
        <rFont val="Arial"/>
        <family val="2"/>
      </rPr>
      <t>H</t>
    </r>
  </si>
  <si>
    <r>
      <t xml:space="preserve">Grupo </t>
    </r>
    <r>
      <rPr>
        <b/>
        <sz val="10"/>
        <color indexed="8"/>
        <rFont val="Arial"/>
        <family val="2"/>
      </rPr>
      <t>A</t>
    </r>
  </si>
  <si>
    <r>
      <t xml:space="preserve">Grupo </t>
    </r>
    <r>
      <rPr>
        <b/>
        <sz val="10"/>
        <color indexed="8"/>
        <rFont val="Arial"/>
        <family val="2"/>
      </rPr>
      <t>B</t>
    </r>
  </si>
  <si>
    <r>
      <t xml:space="preserve">Grupo </t>
    </r>
    <r>
      <rPr>
        <b/>
        <sz val="10"/>
        <color indexed="8"/>
        <rFont val="Arial"/>
        <family val="2"/>
      </rPr>
      <t>C</t>
    </r>
  </si>
  <si>
    <r>
      <t xml:space="preserve">Grupo </t>
    </r>
    <r>
      <rPr>
        <b/>
        <sz val="10"/>
        <color indexed="8"/>
        <rFont val="Arial"/>
        <family val="2"/>
      </rPr>
      <t>D</t>
    </r>
  </si>
  <si>
    <r>
      <t xml:space="preserve">Grupo </t>
    </r>
    <r>
      <rPr>
        <b/>
        <sz val="10"/>
        <color indexed="8"/>
        <rFont val="Arial"/>
        <family val="2"/>
      </rPr>
      <t>E</t>
    </r>
  </si>
  <si>
    <r>
      <t xml:space="preserve">Grupo </t>
    </r>
    <r>
      <rPr>
        <b/>
        <sz val="10"/>
        <color indexed="8"/>
        <rFont val="Arial"/>
        <family val="2"/>
      </rPr>
      <t>F</t>
    </r>
  </si>
  <si>
    <r>
      <t xml:space="preserve">Grupo </t>
    </r>
    <r>
      <rPr>
        <b/>
        <sz val="10"/>
        <color indexed="8"/>
        <rFont val="Arial"/>
        <family val="2"/>
      </rPr>
      <t>G</t>
    </r>
  </si>
  <si>
    <r>
      <t xml:space="preserve">Grupo </t>
    </r>
    <r>
      <rPr>
        <b/>
        <sz val="10"/>
        <color indexed="8"/>
        <rFont val="Arial"/>
        <family val="2"/>
      </rPr>
      <t>H</t>
    </r>
  </si>
  <si>
    <t>Cuartos de Final</t>
  </si>
  <si>
    <t>Semifinal</t>
  </si>
  <si>
    <t>CAMPEÓN</t>
  </si>
  <si>
    <t>3ª Posición</t>
  </si>
  <si>
    <t>BRASIL 2014 - Octavos de Final</t>
  </si>
  <si>
    <t>BRASIL 2014 - Cuartos de Final</t>
  </si>
  <si>
    <t>BRASIL 2014 - Semi Final</t>
  </si>
  <si>
    <t>BRASIL 2014 - Final</t>
  </si>
  <si>
    <t>Por equipo clasificado a la final</t>
  </si>
  <si>
    <t>Puntos x Campeón</t>
  </si>
  <si>
    <t>Por clasificados a semifinales y Final</t>
  </si>
  <si>
    <t>Penales</t>
  </si>
  <si>
    <t>Contabilizar Penaltis para los resultados en la fase eliminatoria</t>
  </si>
  <si>
    <t>NO</t>
  </si>
  <si>
    <t>SI</t>
  </si>
  <si>
    <t>Configuración</t>
  </si>
  <si>
    <t>GE1</t>
  </si>
  <si>
    <t>GE2</t>
  </si>
  <si>
    <t>GRE1</t>
  </si>
  <si>
    <t>GRE2</t>
  </si>
  <si>
    <t>Campeón Brasil</t>
  </si>
  <si>
    <t>manuelgm@gmail.com</t>
  </si>
  <si>
    <t>Seleccionar Datos</t>
  </si>
  <si>
    <t>Houston</t>
  </si>
  <si>
    <t>USA</t>
  </si>
  <si>
    <t>Cargar Desde Texto</t>
  </si>
  <si>
    <t>Manuel Godoy</t>
  </si>
  <si>
    <t>Actualizar Datos</t>
  </si>
  <si>
    <t>Campeón Argentina</t>
  </si>
  <si>
    <t>agonzalez82@slb.com</t>
  </si>
  <si>
    <t>Sugar Land</t>
  </si>
  <si>
    <t>Antonio J. Gonzalez</t>
  </si>
  <si>
    <t>Manuel</t>
  </si>
  <si>
    <t>Control</t>
  </si>
  <si>
    <t>Antonio J'</t>
  </si>
  <si>
    <t>Antonio J</t>
  </si>
  <si>
    <t>G-SF2</t>
  </si>
  <si>
    <t>G-SF1</t>
  </si>
  <si>
    <t>P-SF2</t>
  </si>
  <si>
    <t>P-SF1</t>
  </si>
  <si>
    <t>CF4</t>
  </si>
  <si>
    <t>CF3</t>
  </si>
  <si>
    <t>CF2</t>
  </si>
  <si>
    <t>CF1</t>
  </si>
  <si>
    <t>OF8</t>
  </si>
  <si>
    <t>OF7</t>
  </si>
  <si>
    <t>OF4</t>
  </si>
  <si>
    <t>OF3</t>
  </si>
  <si>
    <t>OF6</t>
  </si>
  <si>
    <t>OF5</t>
  </si>
  <si>
    <t>OF2</t>
  </si>
  <si>
    <t>OF1</t>
  </si>
  <si>
    <t>2do Grupo G</t>
  </si>
  <si>
    <t>1ero Grupo H</t>
  </si>
  <si>
    <t>2do Grupo E</t>
  </si>
  <si>
    <t>1ero Grupo F</t>
  </si>
  <si>
    <t>2do Grupo H</t>
  </si>
  <si>
    <t>1ero Grupo G</t>
  </si>
  <si>
    <t>2do Grupo F</t>
  </si>
  <si>
    <t>1ero Grupo E</t>
  </si>
  <si>
    <t>2do Grupo C</t>
  </si>
  <si>
    <t>1ero Grupo D</t>
  </si>
  <si>
    <t>2do Grupo A</t>
  </si>
  <si>
    <t>1ero Grupo B</t>
  </si>
  <si>
    <t>2do Grupo D</t>
  </si>
  <si>
    <t>1ero Grupo C</t>
  </si>
  <si>
    <t>2do Grupo B</t>
  </si>
  <si>
    <t>1ero Grupo A</t>
  </si>
  <si>
    <t>Luis Escamillo</t>
  </si>
  <si>
    <t>Campeón Alemania</t>
  </si>
  <si>
    <t>919-607-2562</t>
  </si>
  <si>
    <t>cegs03@gmail.com</t>
  </si>
  <si>
    <t>Raleigh</t>
  </si>
  <si>
    <t>Cristina Gonzalez</t>
  </si>
  <si>
    <t>Campeón España</t>
  </si>
  <si>
    <t>jessicagc84@yahoo.com</t>
  </si>
  <si>
    <t>Jessica Gonzalez</t>
  </si>
  <si>
    <t>786 380 0042</t>
  </si>
  <si>
    <t>3800 CR 94 Apt 20205 Manvel, TX 77578</t>
  </si>
  <si>
    <t>Daniel Alonzo</t>
  </si>
  <si>
    <t>Andres Carvajal</t>
  </si>
  <si>
    <t>Askhat Turlybayev</t>
  </si>
  <si>
    <t>281-698-7723</t>
  </si>
  <si>
    <t>rodfeliu@gmail.com</t>
  </si>
  <si>
    <t>U.S.</t>
  </si>
  <si>
    <t>Rodrigo Feliu</t>
  </si>
  <si>
    <t>gusplaza@gmail.com</t>
  </si>
  <si>
    <t>Gustavo Plaza</t>
  </si>
  <si>
    <t>Campeón Portugal</t>
  </si>
  <si>
    <t>Daniel Parra</t>
  </si>
  <si>
    <t>Valeria Rincon</t>
  </si>
  <si>
    <t>Franco Rivero</t>
  </si>
  <si>
    <t>vielmara@gmail.com</t>
  </si>
  <si>
    <t>Ricardo Vielma</t>
  </si>
  <si>
    <t>javajjam@gmail.com</t>
  </si>
  <si>
    <t>Javier Ajjam</t>
  </si>
  <si>
    <t>javiochoa91@gmail.com</t>
  </si>
  <si>
    <t>Charlotte</t>
  </si>
  <si>
    <t>Estados Unidos</t>
  </si>
  <si>
    <t>Javier Ochoa</t>
  </si>
  <si>
    <t>720-209-8376</t>
  </si>
  <si>
    <t>fsilva25@slb.com</t>
  </si>
  <si>
    <t>Bucaramanga</t>
  </si>
  <si>
    <t>Felipe Silva Ardila</t>
  </si>
  <si>
    <t>javier.nunezfeliciani@gmail.com</t>
  </si>
  <si>
    <t>MARACAIBO</t>
  </si>
  <si>
    <t>VENEZUELA</t>
  </si>
  <si>
    <t>JAVIER ARTURO NUNEZ</t>
  </si>
  <si>
    <t>Luis Parilli</t>
  </si>
  <si>
    <t>Erika Guillen</t>
  </si>
  <si>
    <t>antoniogonmo34@gmail.com</t>
  </si>
  <si>
    <t>Antonio L. Gonzalez</t>
  </si>
  <si>
    <t>jandresgimenez@gmail.com</t>
  </si>
  <si>
    <t>Jorge A. Gimenez</t>
  </si>
  <si>
    <t>Tomas Zirczy</t>
  </si>
  <si>
    <t>hernando.lopez@slb.com</t>
  </si>
  <si>
    <t>Hernando Lopez</t>
  </si>
  <si>
    <t>luisparra90@gmail.com</t>
  </si>
  <si>
    <t>E.E.U.U.</t>
  </si>
  <si>
    <t>Luis G Parra</t>
  </si>
  <si>
    <t>pabloeruggeri@gmai.com</t>
  </si>
  <si>
    <t>Pablo E Ruggeri</t>
  </si>
  <si>
    <t>Manuel Godin</t>
  </si>
  <si>
    <t>832-561-7066</t>
  </si>
  <si>
    <t>nkhal@yahoo.com</t>
  </si>
  <si>
    <t>Dickinson, TX</t>
  </si>
  <si>
    <t>Nayeem Khalid</t>
  </si>
  <si>
    <t>Matt Mciver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</si>
</sst>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&quot;de&quot;\ mmm"/>
    <numFmt numFmtId="165" formatCode="hh:mm;@"/>
    <numFmt numFmtId="166" formatCode="dd/mm/yy;@"/>
    <numFmt numFmtId="167" formatCode="d/mm/yy;@"/>
    <numFmt numFmtId="168" formatCode="&quot;GMT&quot;\ \+#.00;&quot;GMT&quot;\ \-#.00"/>
    <numFmt numFmtId="169" formatCode="0.0"/>
    <numFmt numFmtId="170" formatCode="0.0%"/>
  </numFmts>
  <fonts count="115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color indexed="53"/>
      <name val="Arial"/>
      <family val="2"/>
    </font>
    <font>
      <sz val="10"/>
      <color indexed="12"/>
      <name val="Arial"/>
      <family val="2"/>
    </font>
    <font>
      <sz val="6"/>
      <color indexed="52"/>
      <name val="Arial"/>
      <family val="2"/>
    </font>
    <font>
      <sz val="10"/>
      <color indexed="5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36"/>
      <color indexed="47"/>
      <name val="Haettenschweiler"/>
      <family val="2"/>
    </font>
    <font>
      <i/>
      <sz val="16"/>
      <color indexed="47"/>
      <name val="Verdana"/>
      <family val="2"/>
    </font>
    <font>
      <b/>
      <sz val="10"/>
      <color indexed="60"/>
      <name val="Arial"/>
      <family val="2"/>
    </font>
    <font>
      <sz val="20"/>
      <color indexed="47"/>
      <name val="Verdana"/>
      <family val="2"/>
    </font>
    <font>
      <b/>
      <sz val="22"/>
      <color indexed="47"/>
      <name val="Verdana"/>
      <family val="2"/>
    </font>
    <font>
      <b/>
      <sz val="24"/>
      <color indexed="47"/>
      <name val="Verdana"/>
      <family val="2"/>
    </font>
    <font>
      <i/>
      <sz val="8"/>
      <color indexed="60"/>
      <name val="Arial"/>
      <family val="2"/>
    </font>
    <font>
      <sz val="10"/>
      <name val="Wingdings"/>
      <charset val="2"/>
    </font>
    <font>
      <sz val="10"/>
      <color indexed="60"/>
      <name val="Arial"/>
      <family val="2"/>
    </font>
    <font>
      <sz val="10"/>
      <color indexed="10"/>
      <name val="Arial"/>
      <family val="2"/>
    </font>
    <font>
      <sz val="10"/>
      <color indexed="60"/>
      <name val="Arial Narrow"/>
      <family val="2"/>
    </font>
    <font>
      <b/>
      <sz val="8"/>
      <color indexed="60"/>
      <name val="Arial Narrow"/>
      <family val="2"/>
    </font>
    <font>
      <b/>
      <i/>
      <sz val="20"/>
      <name val="Arial"/>
      <family val="2"/>
    </font>
    <font>
      <b/>
      <sz val="10"/>
      <color indexed="52"/>
      <name val="Arial Narrow"/>
      <family val="2"/>
    </font>
    <font>
      <b/>
      <i/>
      <sz val="24"/>
      <name val="Arial"/>
      <family val="2"/>
    </font>
    <font>
      <sz val="10"/>
      <color indexed="53"/>
      <name val="Arial"/>
      <family val="2"/>
    </font>
    <font>
      <i/>
      <sz val="7"/>
      <color indexed="60"/>
      <name val="Arial"/>
      <family val="2"/>
    </font>
    <font>
      <sz val="6"/>
      <name val="Arial Narrow"/>
      <family val="2"/>
    </font>
    <font>
      <sz val="8"/>
      <name val="Arial"/>
      <family val="2"/>
    </font>
    <font>
      <b/>
      <sz val="8"/>
      <color indexed="60"/>
      <name val="Arial"/>
      <family val="2"/>
    </font>
    <font>
      <sz val="7"/>
      <color indexed="60"/>
      <name val="Arial"/>
      <family val="2"/>
    </font>
    <font>
      <sz val="8"/>
      <color indexed="47"/>
      <name val="Arial Narrow"/>
      <family val="2"/>
    </font>
    <font>
      <sz val="8"/>
      <color indexed="60"/>
      <name val="Arial Narrow"/>
      <family val="2"/>
    </font>
    <font>
      <b/>
      <sz val="8"/>
      <color indexed="60"/>
      <name val="Wingdings"/>
      <charset val="2"/>
    </font>
    <font>
      <b/>
      <sz val="10"/>
      <color indexed="60"/>
      <name val="Arial Narrow"/>
      <family val="2"/>
    </font>
    <font>
      <i/>
      <sz val="10"/>
      <name val="Arial"/>
      <family val="2"/>
    </font>
    <font>
      <i/>
      <sz val="8"/>
      <color indexed="53"/>
      <name val="Arial"/>
      <family val="2"/>
    </font>
    <font>
      <i/>
      <sz val="8"/>
      <color indexed="53"/>
      <name val="Arial Narrow"/>
      <family val="2"/>
    </font>
    <font>
      <sz val="10"/>
      <color indexed="9"/>
      <name val="Arial"/>
      <family val="2"/>
    </font>
    <font>
      <sz val="10"/>
      <color indexed="47"/>
      <name val="Arial"/>
      <family val="2"/>
    </font>
    <font>
      <sz val="20"/>
      <color indexed="47"/>
      <name val="Arial"/>
      <family val="2"/>
    </font>
    <font>
      <b/>
      <sz val="22"/>
      <color indexed="47"/>
      <name val="Arial"/>
      <family val="2"/>
    </font>
    <font>
      <b/>
      <sz val="24"/>
      <color indexed="47"/>
      <name val="Arial"/>
      <family val="2"/>
    </font>
    <font>
      <b/>
      <sz val="10"/>
      <name val="Arial"/>
      <family val="2"/>
    </font>
    <font>
      <sz val="8"/>
      <name val="Arial Narrow"/>
      <family val="2"/>
    </font>
    <font>
      <sz val="9"/>
      <color indexed="52"/>
      <name val="Arial"/>
      <family val="2"/>
    </font>
    <font>
      <b/>
      <sz val="9"/>
      <color indexed="52"/>
      <name val="Arial"/>
      <family val="2"/>
    </font>
    <font>
      <sz val="7"/>
      <color indexed="16"/>
      <name val="Arial Narrow"/>
      <family val="2"/>
    </font>
    <font>
      <b/>
      <sz val="9"/>
      <color indexed="60"/>
      <name val="Arial"/>
      <family val="2"/>
    </font>
    <font>
      <sz val="8"/>
      <color indexed="52"/>
      <name val="Arial"/>
      <family val="2"/>
    </font>
    <font>
      <sz val="10"/>
      <name val="Arial Narrow"/>
      <family val="2"/>
    </font>
    <font>
      <sz val="11"/>
      <color indexed="52"/>
      <name val="Arial"/>
      <family val="2"/>
    </font>
    <font>
      <b/>
      <sz val="11"/>
      <color indexed="52"/>
      <name val="Arial"/>
      <family val="2"/>
    </font>
    <font>
      <sz val="8"/>
      <color indexed="16"/>
      <name val="Arial Narrow"/>
      <family val="2"/>
    </font>
    <font>
      <b/>
      <sz val="11"/>
      <color indexed="60"/>
      <name val="Arial"/>
      <family val="2"/>
    </font>
    <font>
      <sz val="12"/>
      <color indexed="52"/>
      <name val="Arial"/>
      <family val="2"/>
    </font>
    <font>
      <b/>
      <sz val="12"/>
      <color indexed="52"/>
      <name val="Arial"/>
      <family val="2"/>
    </font>
    <font>
      <sz val="11"/>
      <color indexed="60"/>
      <name val="Arial Narrow"/>
      <family val="2"/>
    </font>
    <font>
      <b/>
      <sz val="12"/>
      <color indexed="60"/>
      <name val="Arial"/>
      <family val="2"/>
    </font>
    <font>
      <b/>
      <i/>
      <sz val="12"/>
      <color indexed="52"/>
      <name val="Arial"/>
      <family val="2"/>
    </font>
    <font>
      <sz val="8"/>
      <color indexed="60"/>
      <name val="Arial"/>
      <family val="2"/>
    </font>
    <font>
      <sz val="10"/>
      <color indexed="60"/>
      <name val="Wingdings"/>
      <charset val="2"/>
    </font>
    <font>
      <sz val="12"/>
      <color indexed="60"/>
      <name val="Arial"/>
      <family val="2"/>
    </font>
    <font>
      <b/>
      <sz val="12"/>
      <color indexed="16"/>
      <name val="Arial"/>
      <family val="2"/>
    </font>
    <font>
      <b/>
      <i/>
      <sz val="14"/>
      <color indexed="53"/>
      <name val="Arial"/>
      <family val="2"/>
    </font>
    <font>
      <sz val="11"/>
      <name val="Arial"/>
      <family val="2"/>
    </font>
    <font>
      <sz val="9"/>
      <color indexed="16"/>
      <name val="Arial"/>
      <family val="2"/>
    </font>
    <font>
      <sz val="12"/>
      <color indexed="60"/>
      <name val="Wingdings"/>
      <charset val="2"/>
    </font>
    <font>
      <sz val="12"/>
      <color indexed="60"/>
      <name val="Arial Narrow"/>
      <family val="2"/>
    </font>
    <font>
      <b/>
      <sz val="16"/>
      <color indexed="47"/>
      <name val="Arial"/>
      <family val="2"/>
    </font>
    <font>
      <b/>
      <sz val="12"/>
      <color indexed="60"/>
      <name val="Arial Narrow"/>
      <family val="2"/>
    </font>
    <font>
      <b/>
      <i/>
      <sz val="16"/>
      <color indexed="13"/>
      <name val="Arial"/>
      <family val="2"/>
    </font>
    <font>
      <b/>
      <sz val="10"/>
      <color indexed="2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name val="Arial"/>
      <family val="2"/>
    </font>
    <font>
      <b/>
      <sz val="14"/>
      <color indexed="10"/>
      <name val="Arial"/>
      <family val="2"/>
    </font>
    <font>
      <i/>
      <sz val="16"/>
      <color indexed="12"/>
      <name val="Arial"/>
      <family val="2"/>
    </font>
    <font>
      <i/>
      <sz val="14"/>
      <color indexed="12"/>
      <name val="Arial"/>
      <family val="2"/>
    </font>
    <font>
      <b/>
      <i/>
      <sz val="18"/>
      <color indexed="12"/>
      <name val="Arial"/>
      <family val="2"/>
    </font>
    <font>
      <b/>
      <i/>
      <sz val="14"/>
      <color indexed="12"/>
      <name val="Arial"/>
      <family val="2"/>
    </font>
    <font>
      <b/>
      <sz val="8"/>
      <name val="Arial"/>
      <family val="2"/>
    </font>
    <font>
      <sz val="8"/>
      <color indexed="23"/>
      <name val="Arial"/>
      <family val="2"/>
    </font>
    <font>
      <b/>
      <sz val="10"/>
      <color indexed="8"/>
      <name val="Arial"/>
      <family val="2"/>
    </font>
    <font>
      <sz val="8"/>
      <color indexed="22"/>
      <name val="Arial"/>
      <family val="2"/>
    </font>
    <font>
      <b/>
      <u/>
      <sz val="10"/>
      <color indexed="53"/>
      <name val="Arial"/>
      <family val="2"/>
    </font>
    <font>
      <sz val="10"/>
      <name val="Arial"/>
      <family val="2"/>
    </font>
    <font>
      <sz val="8"/>
      <color indexed="47"/>
      <name val="Arial"/>
      <family val="2"/>
    </font>
    <font>
      <sz val="9"/>
      <color indexed="52"/>
      <name val="Arial"/>
      <family val="2"/>
    </font>
    <font>
      <i/>
      <sz val="8"/>
      <color indexed="47"/>
      <name val="Arial"/>
      <family val="2"/>
    </font>
    <font>
      <sz val="10"/>
      <color indexed="60"/>
      <name val="Arial Narrow"/>
      <family val="2"/>
    </font>
    <font>
      <sz val="10"/>
      <color indexed="47"/>
      <name val="Arial"/>
      <family val="2"/>
    </font>
    <font>
      <b/>
      <sz val="16"/>
      <color indexed="60"/>
      <name val="Verdana"/>
      <family val="2"/>
    </font>
    <font>
      <sz val="10"/>
      <color indexed="60"/>
      <name val="Arial"/>
      <family val="2"/>
    </font>
    <font>
      <b/>
      <sz val="10"/>
      <color indexed="9"/>
      <name val="Arial"/>
      <family val="2"/>
    </font>
    <font>
      <sz val="8"/>
      <color indexed="60"/>
      <name val="Arial"/>
      <family val="2"/>
    </font>
    <font>
      <b/>
      <sz val="8"/>
      <color indexed="60"/>
      <name val="Arial"/>
      <family val="2"/>
    </font>
    <font>
      <b/>
      <sz val="10"/>
      <color indexed="60"/>
      <name val="Arial"/>
      <family val="2"/>
    </font>
    <font>
      <sz val="8"/>
      <color indexed="23"/>
      <name val="Arial"/>
      <family val="2"/>
    </font>
    <font>
      <b/>
      <sz val="20"/>
      <color indexed="60"/>
      <name val="Arial Narrow"/>
      <family val="2"/>
    </font>
    <font>
      <b/>
      <sz val="12"/>
      <color indexed="60"/>
      <name val="Verdana"/>
      <family val="2"/>
    </font>
    <font>
      <b/>
      <sz val="20"/>
      <color indexed="60"/>
      <name val="Verdana"/>
      <family val="2"/>
    </font>
    <font>
      <b/>
      <sz val="8"/>
      <color indexed="53"/>
      <name val="Arial"/>
      <family val="2"/>
    </font>
    <font>
      <b/>
      <sz val="10"/>
      <color indexed="53"/>
      <name val="Arial"/>
      <family val="2"/>
    </font>
    <font>
      <b/>
      <sz val="16"/>
      <color indexed="60"/>
      <name val="Arial"/>
      <family val="2"/>
    </font>
    <font>
      <b/>
      <sz val="16"/>
      <color indexed="27"/>
      <name val="Arial"/>
      <family val="2"/>
    </font>
    <font>
      <i/>
      <sz val="16"/>
      <color indexed="60"/>
      <name val="Arial"/>
      <family val="2"/>
    </font>
    <font>
      <b/>
      <sz val="14"/>
      <color indexed="10"/>
      <name val="Arial"/>
      <family val="2"/>
    </font>
    <font>
      <sz val="8"/>
      <name val="Calibri"/>
      <family val="2"/>
    </font>
    <font>
      <b/>
      <sz val="10"/>
      <color rgb="FFFF6600"/>
      <name val="Arial"/>
      <family val="2"/>
    </font>
    <font>
      <sz val="11"/>
      <color theme="9" tint="0.79998168889431442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2"/>
      <name val="Arial"/>
      <family val="2"/>
    </font>
    <font>
      <sz val="8"/>
      <color rgb="FFFFCC99"/>
      <name val="Arial"/>
      <family val="2"/>
    </font>
    <font>
      <b/>
      <sz val="10"/>
      <color rgb="FFFF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lightGray">
        <fgColor indexed="52"/>
        <bgColor indexed="47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6600"/>
        <bgColor indexed="64"/>
      </patternFill>
    </fill>
  </fills>
  <borders count="142">
    <border>
      <left/>
      <right/>
      <top/>
      <bottom/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thin">
        <color indexed="52"/>
      </left>
      <right/>
      <top/>
      <bottom/>
      <diagonal/>
    </border>
    <border>
      <left/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 style="thin">
        <color indexed="52"/>
      </bottom>
      <diagonal/>
    </border>
    <border>
      <left/>
      <right/>
      <top style="thin">
        <color indexed="52"/>
      </top>
      <bottom style="thin">
        <color indexed="52"/>
      </bottom>
      <diagonal/>
    </border>
    <border>
      <left style="thin">
        <color indexed="52"/>
      </left>
      <right/>
      <top style="thin">
        <color indexed="52"/>
      </top>
      <bottom/>
      <diagonal/>
    </border>
    <border>
      <left/>
      <right style="thin">
        <color indexed="52"/>
      </right>
      <top/>
      <bottom style="thin">
        <color indexed="52"/>
      </bottom>
      <diagonal/>
    </border>
    <border>
      <left/>
      <right/>
      <top/>
      <bottom style="thin">
        <color indexed="52"/>
      </bottom>
      <diagonal/>
    </border>
    <border>
      <left style="thin">
        <color indexed="52"/>
      </left>
      <right/>
      <top/>
      <bottom style="thin">
        <color indexed="53"/>
      </bottom>
      <diagonal/>
    </border>
    <border>
      <left/>
      <right/>
      <top style="thin">
        <color indexed="53"/>
      </top>
      <bottom/>
      <diagonal/>
    </border>
    <border>
      <left style="thin">
        <color indexed="52"/>
      </left>
      <right/>
      <top/>
      <bottom style="thin">
        <color indexed="52"/>
      </bottom>
      <diagonal/>
    </border>
    <border>
      <left/>
      <right/>
      <top style="thin">
        <color indexed="52"/>
      </top>
      <bottom/>
      <diagonal/>
    </border>
    <border>
      <left/>
      <right style="thin">
        <color indexed="52"/>
      </right>
      <top/>
      <bottom/>
      <diagonal/>
    </border>
    <border>
      <left style="thin">
        <color indexed="52"/>
      </left>
      <right style="thin">
        <color indexed="53"/>
      </right>
      <top/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medium">
        <color indexed="58"/>
      </right>
      <top style="medium">
        <color indexed="58"/>
      </top>
      <bottom style="thin">
        <color indexed="17"/>
      </bottom>
      <diagonal/>
    </border>
    <border>
      <left/>
      <right style="medium">
        <color indexed="58"/>
      </right>
      <top style="thin">
        <color indexed="17"/>
      </top>
      <bottom style="thin">
        <color indexed="17"/>
      </bottom>
      <diagonal/>
    </border>
    <border>
      <left/>
      <right style="medium">
        <color indexed="58"/>
      </right>
      <top style="thin">
        <color indexed="17"/>
      </top>
      <bottom style="thin">
        <color indexed="64"/>
      </bottom>
      <diagonal/>
    </border>
    <border>
      <left/>
      <right style="medium">
        <color indexed="58"/>
      </right>
      <top style="thin">
        <color indexed="64"/>
      </top>
      <bottom style="medium">
        <color indexed="58"/>
      </bottom>
      <diagonal/>
    </border>
    <border>
      <left/>
      <right/>
      <top/>
      <bottom style="thin">
        <color indexed="57"/>
      </bottom>
      <diagonal/>
    </border>
    <border>
      <left/>
      <right/>
      <top style="thin">
        <color indexed="57"/>
      </top>
      <bottom style="thin">
        <color indexed="64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57"/>
      </top>
      <bottom/>
      <diagonal/>
    </border>
    <border>
      <left/>
      <right/>
      <top style="thin">
        <color indexed="64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17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 style="thin">
        <color indexed="57"/>
      </bottom>
      <diagonal/>
    </border>
    <border>
      <left/>
      <right/>
      <top style="thin">
        <color indexed="57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64"/>
      </bottom>
      <diagonal/>
    </border>
    <border>
      <left/>
      <right/>
      <top style="thin">
        <color indexed="17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57"/>
      </left>
      <right style="thin">
        <color indexed="57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8"/>
      </left>
      <right/>
      <top style="medium">
        <color indexed="18"/>
      </top>
      <bottom style="medium">
        <color indexed="18"/>
      </bottom>
      <diagonal/>
    </border>
    <border>
      <left/>
      <right/>
      <top style="medium">
        <color indexed="18"/>
      </top>
      <bottom style="medium">
        <color indexed="18"/>
      </bottom>
      <diagonal/>
    </border>
    <border>
      <left/>
      <right style="medium">
        <color indexed="18"/>
      </right>
      <top style="medium">
        <color indexed="18"/>
      </top>
      <bottom style="medium">
        <color indexed="18"/>
      </bottom>
      <diagonal/>
    </border>
    <border>
      <left style="medium">
        <color indexed="52"/>
      </left>
      <right/>
      <top style="medium">
        <color indexed="52"/>
      </top>
      <bottom style="medium">
        <color indexed="52"/>
      </bottom>
      <diagonal/>
    </border>
    <border>
      <left/>
      <right style="medium">
        <color indexed="52"/>
      </right>
      <top style="medium">
        <color indexed="52"/>
      </top>
      <bottom style="medium">
        <color indexed="52"/>
      </bottom>
      <diagonal/>
    </border>
    <border>
      <left style="thin">
        <color indexed="53"/>
      </left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 style="thin">
        <color indexed="53"/>
      </right>
      <top/>
      <bottom style="thin">
        <color indexed="53"/>
      </bottom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64"/>
      </bottom>
      <diagonal/>
    </border>
    <border>
      <left style="thin">
        <color indexed="53"/>
      </left>
      <right style="thin">
        <color indexed="53"/>
      </right>
      <top style="thin">
        <color indexed="64"/>
      </top>
      <bottom style="thin">
        <color indexed="53"/>
      </bottom>
      <diagonal/>
    </border>
    <border>
      <left style="thin">
        <color indexed="53"/>
      </left>
      <right/>
      <top style="thin">
        <color indexed="53"/>
      </top>
      <bottom/>
      <diagonal/>
    </border>
    <border>
      <left/>
      <right style="thin">
        <color indexed="53"/>
      </right>
      <top style="thin">
        <color indexed="53"/>
      </top>
      <bottom/>
      <diagonal/>
    </border>
    <border>
      <left style="thin">
        <color indexed="53"/>
      </left>
      <right/>
      <top/>
      <bottom style="thin">
        <color indexed="53"/>
      </bottom>
      <diagonal/>
    </border>
    <border>
      <left/>
      <right/>
      <top/>
      <bottom style="thin">
        <color indexed="53"/>
      </bottom>
      <diagonal/>
    </border>
    <border>
      <left/>
      <right style="thin">
        <color indexed="53"/>
      </right>
      <top/>
      <bottom style="thin">
        <color indexed="53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58"/>
      </top>
      <bottom style="thin">
        <color indexed="1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58"/>
      </bottom>
      <diagonal/>
    </border>
    <border>
      <left style="medium">
        <color indexed="58"/>
      </left>
      <right/>
      <top style="medium">
        <color indexed="58"/>
      </top>
      <bottom/>
      <diagonal/>
    </border>
    <border>
      <left/>
      <right/>
      <top style="medium">
        <color indexed="58"/>
      </top>
      <bottom/>
      <diagonal/>
    </border>
    <border>
      <left style="medium">
        <color indexed="58"/>
      </left>
      <right/>
      <top/>
      <bottom/>
      <diagonal/>
    </border>
    <border>
      <left style="medium">
        <color indexed="58"/>
      </left>
      <right/>
      <top/>
      <bottom style="medium">
        <color indexed="58"/>
      </bottom>
      <diagonal/>
    </border>
    <border>
      <left/>
      <right/>
      <top/>
      <bottom style="medium">
        <color indexed="58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57"/>
      </top>
      <bottom style="thin">
        <color auto="1"/>
      </bottom>
      <diagonal/>
    </border>
    <border>
      <left/>
      <right/>
      <top style="thin">
        <color auto="1"/>
      </top>
      <bottom style="thin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57"/>
      </left>
      <right style="thin">
        <color indexed="57"/>
      </right>
      <top style="thin">
        <color auto="1"/>
      </top>
      <bottom/>
      <diagonal/>
    </border>
    <border>
      <left/>
      <right/>
      <top style="thin">
        <color indexed="17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17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57"/>
      </left>
      <right style="thin">
        <color indexed="57"/>
      </right>
      <top style="thin">
        <color auto="1"/>
      </top>
      <bottom style="thin">
        <color auto="1"/>
      </bottom>
      <diagonal/>
    </border>
    <border>
      <left style="thin">
        <color indexed="57"/>
      </left>
      <right style="thin">
        <color indexed="57"/>
      </right>
      <top style="thin">
        <color auto="1"/>
      </top>
      <bottom style="thin">
        <color indexed="57"/>
      </bottom>
      <diagonal/>
    </border>
    <border>
      <left/>
      <right style="medium">
        <color indexed="58"/>
      </right>
      <top style="thin">
        <color auto="1"/>
      </top>
      <bottom style="medium">
        <color indexed="58"/>
      </bottom>
      <diagonal/>
    </border>
    <border>
      <left/>
      <right/>
      <top style="thin">
        <color auto="1"/>
      </top>
      <bottom style="medium">
        <color indexed="58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indexed="58"/>
      </right>
      <top style="thin">
        <color indexed="17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indexed="57"/>
      </bottom>
      <diagonal/>
    </border>
    <border>
      <left/>
      <right/>
      <top style="thin">
        <color indexed="17"/>
      </top>
      <bottom style="thin">
        <color auto="1"/>
      </bottom>
      <diagonal/>
    </border>
    <border>
      <left/>
      <right/>
      <top style="thin">
        <color indexed="17"/>
      </top>
      <bottom style="thin">
        <color indexed="17"/>
      </bottom>
      <diagonal/>
    </border>
    <border>
      <left/>
      <right style="medium">
        <color indexed="58"/>
      </right>
      <top style="thin">
        <color indexed="17"/>
      </top>
      <bottom style="thin">
        <color indexed="17"/>
      </bottom>
      <diagonal/>
    </border>
    <border>
      <left/>
      <right/>
      <top style="thin">
        <color indexed="17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86" fillId="0" borderId="0"/>
  </cellStyleXfs>
  <cellXfs count="687">
    <xf numFmtId="0" fontId="0" fillId="0" borderId="0" xfId="0"/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0" fillId="2" borderId="0" xfId="0" applyFill="1" applyAlignment="1" applyProtection="1">
      <alignment vertical="center"/>
    </xf>
    <xf numFmtId="0" fontId="2" fillId="3" borderId="1" xfId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2" fillId="2" borderId="0" xfId="0" applyFont="1" applyFill="1" applyAlignment="1" applyProtection="1">
      <alignment vertical="center"/>
    </xf>
    <xf numFmtId="0" fontId="3" fillId="2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/>
    </xf>
    <xf numFmtId="0" fontId="5" fillId="2" borderId="0" xfId="0" applyFont="1" applyFill="1" applyAlignment="1" applyProtection="1">
      <alignment horizontal="center"/>
    </xf>
    <xf numFmtId="0" fontId="6" fillId="2" borderId="0" xfId="0" applyFont="1" applyFill="1" applyProtection="1"/>
    <xf numFmtId="0" fontId="8" fillId="2" borderId="0" xfId="0" applyFont="1" applyFill="1" applyAlignment="1" applyProtection="1"/>
    <xf numFmtId="0" fontId="9" fillId="2" borderId="0" xfId="0" applyFont="1" applyFill="1" applyAlignment="1" applyProtection="1">
      <alignment horizontal="center"/>
    </xf>
    <xf numFmtId="0" fontId="8" fillId="2" borderId="0" xfId="0" applyFont="1" applyFill="1" applyProtection="1"/>
    <xf numFmtId="0" fontId="11" fillId="4" borderId="0" xfId="0" applyFont="1" applyFill="1" applyAlignment="1" applyProtection="1">
      <alignment vertical="center"/>
    </xf>
    <xf numFmtId="0" fontId="0" fillId="4" borderId="0" xfId="0" applyFill="1" applyProtection="1"/>
    <xf numFmtId="0" fontId="0" fillId="2" borderId="2" xfId="0" applyFill="1" applyBorder="1" applyProtection="1"/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0" fontId="0" fillId="2" borderId="0" xfId="0" applyFill="1" applyBorder="1" applyProtection="1"/>
    <xf numFmtId="0" fontId="16" fillId="2" borderId="0" xfId="0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right" vertical="center"/>
    </xf>
    <xf numFmtId="0" fontId="18" fillId="2" borderId="3" xfId="0" applyFont="1" applyFill="1" applyBorder="1" applyAlignment="1" applyProtection="1">
      <alignment horizontal="right" vertical="center"/>
    </xf>
    <xf numFmtId="0" fontId="12" fillId="2" borderId="4" xfId="0" applyFont="1" applyFill="1" applyBorder="1" applyAlignment="1" applyProtection="1">
      <alignment horizontal="center" vertical="center"/>
      <protection locked="0"/>
    </xf>
    <xf numFmtId="0" fontId="19" fillId="2" borderId="4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vertical="center"/>
    </xf>
    <xf numFmtId="16" fontId="20" fillId="2" borderId="6" xfId="0" applyNumberFormat="1" applyFont="1" applyFill="1" applyBorder="1" applyAlignment="1" applyProtection="1">
      <alignment horizontal="center" vertical="center"/>
    </xf>
    <xf numFmtId="0" fontId="87" fillId="2" borderId="0" xfId="0" applyFont="1" applyFill="1" applyBorder="1" applyAlignment="1" applyProtection="1">
      <alignment horizontal="right" vertical="center"/>
    </xf>
    <xf numFmtId="0" fontId="22" fillId="2" borderId="0" xfId="0" applyFont="1" applyFill="1" applyBorder="1" applyAlignment="1" applyProtection="1">
      <alignment horizontal="center"/>
    </xf>
    <xf numFmtId="0" fontId="0" fillId="2" borderId="6" xfId="0" applyFill="1" applyBorder="1" applyProtection="1"/>
    <xf numFmtId="0" fontId="24" fillId="2" borderId="0" xfId="0" applyFont="1" applyFill="1" applyBorder="1" applyAlignment="1" applyProtection="1">
      <alignment horizontal="center"/>
    </xf>
    <xf numFmtId="0" fontId="0" fillId="2" borderId="2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horizontal="right"/>
    </xf>
    <xf numFmtId="0" fontId="25" fillId="2" borderId="0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left"/>
    </xf>
    <xf numFmtId="0" fontId="26" fillId="2" borderId="0" xfId="0" applyFont="1" applyFill="1" applyBorder="1" applyAlignment="1" applyProtection="1">
      <alignment horizontal="left"/>
    </xf>
    <xf numFmtId="20" fontId="27" fillId="2" borderId="7" xfId="0" applyNumberFormat="1" applyFont="1" applyFill="1" applyBorder="1" applyAlignment="1" applyProtection="1">
      <alignment horizontal="left" vertical="top"/>
    </xf>
    <xf numFmtId="22" fontId="28" fillId="2" borderId="0" xfId="0" applyNumberFormat="1" applyFont="1" applyFill="1" applyAlignment="1" applyProtection="1">
      <alignment horizontal="center"/>
    </xf>
    <xf numFmtId="20" fontId="0" fillId="2" borderId="2" xfId="0" applyNumberFormat="1" applyFill="1" applyBorder="1" applyAlignment="1" applyProtection="1">
      <alignment horizontal="center"/>
    </xf>
    <xf numFmtId="20" fontId="0" fillId="2" borderId="8" xfId="0" applyNumberFormat="1" applyFill="1" applyBorder="1" applyAlignment="1" applyProtection="1">
      <alignment horizontal="center"/>
    </xf>
    <xf numFmtId="0" fontId="0" fillId="2" borderId="9" xfId="0" applyFill="1" applyBorder="1" applyProtection="1"/>
    <xf numFmtId="0" fontId="23" fillId="2" borderId="0" xfId="0" applyFont="1" applyFill="1" applyBorder="1" applyAlignment="1" applyProtection="1">
      <alignment horizontal="center" vertical="center"/>
    </xf>
    <xf numFmtId="0" fontId="23" fillId="2" borderId="7" xfId="0" applyFont="1" applyFill="1" applyBorder="1" applyAlignment="1" applyProtection="1">
      <alignment horizontal="center" vertical="center"/>
    </xf>
    <xf numFmtId="0" fontId="88" fillId="2" borderId="4" xfId="0" applyFont="1" applyFill="1" applyBorder="1" applyAlignment="1" applyProtection="1">
      <alignment horizontal="right" indent="1"/>
    </xf>
    <xf numFmtId="0" fontId="88" fillId="2" borderId="4" xfId="0" applyFont="1" applyFill="1" applyBorder="1" applyAlignment="1" applyProtection="1">
      <alignment horizontal="center"/>
      <protection locked="0"/>
    </xf>
    <xf numFmtId="0" fontId="18" fillId="2" borderId="0" xfId="0" applyFont="1" applyFill="1" applyProtection="1"/>
    <xf numFmtId="0" fontId="30" fillId="2" borderId="0" xfId="0" applyFont="1" applyFill="1" applyAlignment="1" applyProtection="1">
      <alignment horizontal="center"/>
    </xf>
    <xf numFmtId="0" fontId="87" fillId="2" borderId="0" xfId="0" applyFont="1" applyFill="1" applyProtection="1"/>
    <xf numFmtId="0" fontId="31" fillId="2" borderId="0" xfId="0" applyFont="1" applyFill="1" applyAlignment="1" applyProtection="1">
      <alignment horizontal="right" vertical="center"/>
    </xf>
    <xf numFmtId="0" fontId="34" fillId="2" borderId="6" xfId="0" applyFont="1" applyFill="1" applyBorder="1" applyAlignment="1" applyProtection="1">
      <alignment vertical="center"/>
    </xf>
    <xf numFmtId="0" fontId="18" fillId="2" borderId="6" xfId="0" applyFont="1" applyFill="1" applyBorder="1" applyAlignment="1" applyProtection="1">
      <alignment vertical="center"/>
    </xf>
    <xf numFmtId="0" fontId="89" fillId="2" borderId="0" xfId="0" applyFont="1" applyFill="1" applyAlignment="1" applyProtection="1">
      <alignment horizontal="left" vertical="center"/>
    </xf>
    <xf numFmtId="0" fontId="90" fillId="2" borderId="6" xfId="0" applyFont="1" applyFill="1" applyBorder="1" applyAlignment="1" applyProtection="1">
      <alignment vertical="center"/>
    </xf>
    <xf numFmtId="0" fontId="91" fillId="2" borderId="0" xfId="0" applyFont="1" applyFill="1" applyAlignment="1" applyProtection="1">
      <alignment vertical="center"/>
    </xf>
    <xf numFmtId="0" fontId="20" fillId="2" borderId="6" xfId="0" applyFont="1" applyFill="1" applyBorder="1" applyAlignment="1" applyProtection="1">
      <alignment vertical="center"/>
    </xf>
    <xf numFmtId="0" fontId="87" fillId="2" borderId="0" xfId="0" applyFont="1" applyFill="1" applyAlignment="1" applyProtection="1">
      <alignment vertical="center"/>
    </xf>
    <xf numFmtId="0" fontId="92" fillId="2" borderId="0" xfId="0" applyFont="1" applyFill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0" fontId="8" fillId="2" borderId="2" xfId="0" applyFont="1" applyFill="1" applyBorder="1" applyAlignment="1" applyProtection="1">
      <alignment vertical="center"/>
    </xf>
    <xf numFmtId="0" fontId="8" fillId="2" borderId="2" xfId="0" applyFont="1" applyFill="1" applyBorder="1" applyProtection="1"/>
    <xf numFmtId="0" fontId="0" fillId="2" borderId="10" xfId="0" applyFill="1" applyBorder="1" applyProtection="1"/>
    <xf numFmtId="0" fontId="16" fillId="2" borderId="0" xfId="0" applyFont="1" applyFill="1" applyProtection="1"/>
    <xf numFmtId="0" fontId="35" fillId="2" borderId="0" xfId="0" applyFont="1" applyFill="1" applyProtection="1"/>
    <xf numFmtId="0" fontId="36" fillId="2" borderId="0" xfId="0" applyFont="1" applyFill="1" applyAlignment="1" applyProtection="1">
      <alignment horizontal="right"/>
    </xf>
    <xf numFmtId="164" fontId="37" fillId="2" borderId="11" xfId="0" applyNumberFormat="1" applyFont="1" applyFill="1" applyBorder="1" applyAlignment="1" applyProtection="1">
      <alignment horizontal="right"/>
    </xf>
    <xf numFmtId="20" fontId="36" fillId="2" borderId="11" xfId="0" applyNumberFormat="1" applyFont="1" applyFill="1" applyBorder="1" applyAlignment="1" applyProtection="1">
      <alignment horizontal="center"/>
    </xf>
    <xf numFmtId="0" fontId="38" fillId="2" borderId="0" xfId="0" applyFont="1" applyFill="1" applyProtection="1"/>
    <xf numFmtId="0" fontId="0" fillId="0" borderId="0" xfId="0" applyFill="1" applyProtection="1"/>
    <xf numFmtId="0" fontId="8" fillId="0" borderId="0" xfId="0" applyFont="1" applyFill="1" applyProtection="1"/>
    <xf numFmtId="0" fontId="39" fillId="0" borderId="0" xfId="0" applyFont="1" applyFill="1" applyProtection="1"/>
    <xf numFmtId="0" fontId="38" fillId="0" borderId="0" xfId="0" applyFont="1" applyFill="1" applyProtection="1"/>
    <xf numFmtId="0" fontId="39" fillId="0" borderId="0" xfId="0" applyNumberFormat="1" applyFont="1" applyFill="1" applyProtection="1"/>
    <xf numFmtId="0" fontId="23" fillId="2" borderId="2" xfId="0" applyFont="1" applyFill="1" applyBorder="1" applyAlignment="1" applyProtection="1">
      <alignment horizontal="center" vertical="center"/>
    </xf>
    <xf numFmtId="0" fontId="39" fillId="2" borderId="0" xfId="0" applyFont="1" applyFill="1" applyProtection="1"/>
    <xf numFmtId="0" fontId="39" fillId="2" borderId="0" xfId="0" applyNumberFormat="1" applyFont="1" applyFill="1" applyProtection="1"/>
    <xf numFmtId="0" fontId="93" fillId="2" borderId="3" xfId="0" applyFont="1" applyFill="1" applyBorder="1" applyAlignment="1" applyProtection="1">
      <alignment horizontal="right" vertical="center"/>
    </xf>
    <xf numFmtId="0" fontId="28" fillId="2" borderId="0" xfId="0" applyFont="1" applyFill="1" applyProtection="1"/>
    <xf numFmtId="0" fontId="28" fillId="2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12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64" fontId="37" fillId="2" borderId="0" xfId="0" applyNumberFormat="1" applyFont="1" applyFill="1" applyBorder="1" applyAlignment="1" applyProtection="1">
      <alignment horizontal="right"/>
    </xf>
    <xf numFmtId="20" fontId="36" fillId="2" borderId="0" xfId="0" applyNumberFormat="1" applyFont="1" applyFill="1" applyBorder="1" applyAlignment="1" applyProtection="1">
      <alignment horizontal="center"/>
    </xf>
    <xf numFmtId="0" fontId="4" fillId="2" borderId="0" xfId="1" applyFont="1" applyFill="1" applyAlignment="1" applyProtection="1">
      <alignment vertical="center"/>
    </xf>
    <xf numFmtId="0" fontId="29" fillId="5" borderId="13" xfId="0" applyFont="1" applyFill="1" applyBorder="1" applyAlignment="1" applyProtection="1">
      <alignment horizontal="center"/>
    </xf>
    <xf numFmtId="0" fontId="43" fillId="5" borderId="13" xfId="0" applyFont="1" applyFill="1" applyBorder="1" applyAlignment="1" applyProtection="1"/>
    <xf numFmtId="0" fontId="6" fillId="2" borderId="0" xfId="0" applyFont="1" applyFill="1" applyBorder="1" applyProtection="1"/>
    <xf numFmtId="0" fontId="44" fillId="2" borderId="0" xfId="0" applyFont="1" applyFill="1" applyAlignment="1" applyProtection="1">
      <alignment horizontal="right" vertical="center"/>
    </xf>
    <xf numFmtId="0" fontId="28" fillId="2" borderId="0" xfId="0" applyFont="1" applyFill="1" applyAlignment="1" applyProtection="1">
      <alignment vertical="center"/>
    </xf>
    <xf numFmtId="0" fontId="45" fillId="2" borderId="4" xfId="0" applyFont="1" applyFill="1" applyBorder="1" applyAlignment="1" applyProtection="1">
      <alignment horizontal="right" vertical="center"/>
    </xf>
    <xf numFmtId="0" fontId="46" fillId="2" borderId="4" xfId="0" applyFont="1" applyFill="1" applyBorder="1" applyAlignment="1" applyProtection="1">
      <alignment horizontal="center" vertical="center"/>
      <protection locked="0"/>
    </xf>
    <xf numFmtId="0" fontId="47" fillId="2" borderId="9" xfId="0" applyFont="1" applyFill="1" applyBorder="1" applyAlignment="1" applyProtection="1">
      <alignment horizontal="center" vertical="center"/>
      <protection locked="0"/>
    </xf>
    <xf numFmtId="0" fontId="28" fillId="2" borderId="9" xfId="0" applyFont="1" applyFill="1" applyBorder="1" applyAlignment="1" applyProtection="1">
      <alignment vertical="center"/>
    </xf>
    <xf numFmtId="0" fontId="32" fillId="2" borderId="0" xfId="0" applyFont="1" applyFill="1" applyAlignment="1" applyProtection="1">
      <alignment horizontal="right" vertical="center"/>
    </xf>
    <xf numFmtId="0" fontId="32" fillId="2" borderId="0" xfId="0" applyFont="1" applyFill="1" applyAlignment="1" applyProtection="1">
      <alignment horizontal="center" vertical="center"/>
    </xf>
    <xf numFmtId="16" fontId="32" fillId="2" borderId="0" xfId="0" applyNumberFormat="1" applyFont="1" applyFill="1" applyAlignment="1" applyProtection="1">
      <alignment horizontal="right" vertical="center"/>
    </xf>
    <xf numFmtId="20" fontId="32" fillId="2" borderId="0" xfId="0" applyNumberFormat="1" applyFont="1" applyFill="1" applyAlignment="1" applyProtection="1">
      <alignment horizontal="center" vertical="center"/>
    </xf>
    <xf numFmtId="0" fontId="21" fillId="2" borderId="0" xfId="0" applyFont="1" applyFill="1" applyAlignment="1" applyProtection="1">
      <alignment vertical="center"/>
    </xf>
    <xf numFmtId="0" fontId="87" fillId="2" borderId="0" xfId="0" applyFont="1" applyFill="1" applyAlignment="1" applyProtection="1">
      <alignment horizontal="center" vertical="center"/>
    </xf>
    <xf numFmtId="0" fontId="28" fillId="2" borderId="6" xfId="0" applyFont="1" applyFill="1" applyBorder="1" applyAlignment="1" applyProtection="1">
      <alignment vertical="center"/>
    </xf>
    <xf numFmtId="0" fontId="28" fillId="2" borderId="3" xfId="0" applyFont="1" applyFill="1" applyBorder="1" applyAlignment="1" applyProtection="1">
      <alignment vertical="center"/>
    </xf>
    <xf numFmtId="0" fontId="28" fillId="2" borderId="0" xfId="0" applyFont="1" applyFill="1" applyBorder="1" applyAlignment="1" applyProtection="1">
      <alignment vertical="center"/>
    </xf>
    <xf numFmtId="0" fontId="48" fillId="2" borderId="4" xfId="0" applyFont="1" applyFill="1" applyBorder="1" applyAlignment="1" applyProtection="1">
      <alignment vertical="center"/>
    </xf>
    <xf numFmtId="0" fontId="28" fillId="2" borderId="0" xfId="0" applyFont="1" applyFill="1" applyAlignment="1" applyProtection="1">
      <alignment horizontal="center" vertical="center"/>
    </xf>
    <xf numFmtId="0" fontId="47" fillId="2" borderId="7" xfId="0" applyFont="1" applyFill="1" applyBorder="1" applyAlignment="1" applyProtection="1">
      <alignment horizontal="center" vertical="center"/>
      <protection locked="0"/>
    </xf>
    <xf numFmtId="0" fontId="28" fillId="2" borderId="13" xfId="0" applyFont="1" applyFill="1" applyBorder="1" applyAlignment="1" applyProtection="1">
      <alignment vertical="center"/>
    </xf>
    <xf numFmtId="0" fontId="49" fillId="2" borderId="0" xfId="0" applyFont="1" applyFill="1" applyAlignment="1" applyProtection="1">
      <alignment vertical="center"/>
      <protection locked="0"/>
    </xf>
    <xf numFmtId="0" fontId="28" fillId="2" borderId="0" xfId="0" applyFont="1" applyFill="1" applyAlignment="1" applyProtection="1">
      <alignment vertical="center"/>
      <protection locked="0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vertical="center"/>
    </xf>
    <xf numFmtId="0" fontId="50" fillId="2" borderId="0" xfId="0" applyFont="1" applyFill="1" applyAlignment="1" applyProtection="1">
      <alignment horizontal="right" vertical="center"/>
    </xf>
    <xf numFmtId="0" fontId="51" fillId="2" borderId="4" xfId="0" applyFont="1" applyFill="1" applyBorder="1" applyAlignment="1" applyProtection="1">
      <alignment horizontal="right" vertical="center"/>
    </xf>
    <xf numFmtId="0" fontId="52" fillId="2" borderId="4" xfId="0" applyFont="1" applyFill="1" applyBorder="1" applyAlignment="1" applyProtection="1">
      <alignment horizontal="center" vertical="center"/>
      <protection locked="0"/>
    </xf>
    <xf numFmtId="0" fontId="53" fillId="2" borderId="9" xfId="0" applyFont="1" applyFill="1" applyBorder="1" applyAlignment="1" applyProtection="1">
      <alignment horizontal="center" vertical="center"/>
      <protection locked="0"/>
    </xf>
    <xf numFmtId="0" fontId="20" fillId="2" borderId="0" xfId="0" applyFont="1" applyFill="1" applyAlignment="1" applyProtection="1">
      <alignment horizontal="right" vertical="center"/>
    </xf>
    <xf numFmtId="0" fontId="20" fillId="2" borderId="0" xfId="0" applyFont="1" applyFill="1" applyAlignment="1" applyProtection="1">
      <alignment horizontal="center" vertical="center"/>
    </xf>
    <xf numFmtId="16" fontId="20" fillId="2" borderId="0" xfId="0" applyNumberFormat="1" applyFont="1" applyFill="1" applyAlignment="1" applyProtection="1">
      <alignment horizontal="right" vertical="center"/>
    </xf>
    <xf numFmtId="20" fontId="20" fillId="2" borderId="0" xfId="0" applyNumberFormat="1" applyFont="1" applyFill="1" applyAlignment="1" applyProtection="1">
      <alignment horizontal="center" vertical="center"/>
    </xf>
    <xf numFmtId="0" fontId="54" fillId="2" borderId="4" xfId="0" applyFont="1" applyFill="1" applyBorder="1" applyAlignment="1" applyProtection="1">
      <alignment vertical="center"/>
    </xf>
    <xf numFmtId="0" fontId="8" fillId="2" borderId="0" xfId="0" applyFont="1" applyFill="1" applyAlignment="1" applyProtection="1">
      <alignment horizontal="center" vertical="center"/>
    </xf>
    <xf numFmtId="0" fontId="53" fillId="2" borderId="7" xfId="0" applyFont="1" applyFill="1" applyBorder="1" applyAlignment="1" applyProtection="1">
      <alignment horizontal="center" vertical="center"/>
      <protection locked="0"/>
    </xf>
    <xf numFmtId="0" fontId="49" fillId="2" borderId="0" xfId="0" applyFont="1" applyFill="1" applyAlignment="1" applyProtection="1">
      <alignment vertical="center"/>
    </xf>
    <xf numFmtId="0" fontId="51" fillId="2" borderId="0" xfId="0" applyFont="1" applyFill="1" applyAlignment="1" applyProtection="1">
      <alignment vertical="center"/>
      <protection locked="0"/>
    </xf>
    <xf numFmtId="164" fontId="37" fillId="2" borderId="0" xfId="0" applyNumberFormat="1" applyFont="1" applyFill="1" applyBorder="1" applyAlignment="1" applyProtection="1">
      <alignment horizontal="right" vertical="top"/>
    </xf>
    <xf numFmtId="20" fontId="36" fillId="2" borderId="0" xfId="0" applyNumberFormat="1" applyFont="1" applyFill="1" applyBorder="1" applyAlignment="1" applyProtection="1">
      <alignment horizontal="center" vertical="top"/>
    </xf>
    <xf numFmtId="0" fontId="6" fillId="2" borderId="0" xfId="0" applyFont="1" applyFill="1" applyAlignment="1" applyProtection="1">
      <alignment vertical="top"/>
    </xf>
    <xf numFmtId="22" fontId="0" fillId="2" borderId="0" xfId="0" applyNumberFormat="1" applyFill="1" applyAlignment="1" applyProtection="1">
      <alignment vertical="center"/>
    </xf>
    <xf numFmtId="0" fontId="55" fillId="2" borderId="4" xfId="0" applyFont="1" applyFill="1" applyBorder="1" applyAlignment="1" applyProtection="1">
      <alignment horizontal="right" vertical="center"/>
    </xf>
    <xf numFmtId="0" fontId="56" fillId="2" borderId="4" xfId="0" applyFont="1" applyFill="1" applyBorder="1" applyAlignment="1" applyProtection="1">
      <alignment horizontal="center" vertical="center"/>
      <protection locked="0"/>
    </xf>
    <xf numFmtId="0" fontId="57" fillId="2" borderId="0" xfId="0" applyFont="1" applyFill="1" applyAlignment="1" applyProtection="1">
      <alignment horizontal="center" vertical="center"/>
    </xf>
    <xf numFmtId="16" fontId="57" fillId="2" borderId="0" xfId="0" applyNumberFormat="1" applyFont="1" applyFill="1" applyAlignment="1" applyProtection="1">
      <alignment horizontal="right" vertical="center"/>
    </xf>
    <xf numFmtId="20" fontId="57" fillId="2" borderId="0" xfId="0" applyNumberFormat="1" applyFont="1" applyFill="1" applyAlignment="1" applyProtection="1">
      <alignment horizontal="center" vertical="center"/>
    </xf>
    <xf numFmtId="0" fontId="58" fillId="2" borderId="4" xfId="0" applyFont="1" applyFill="1" applyBorder="1" applyAlignment="1" applyProtection="1">
      <alignment vertical="center"/>
    </xf>
    <xf numFmtId="0" fontId="39" fillId="0" borderId="0" xfId="0" applyFont="1" applyFill="1"/>
    <xf numFmtId="0" fontId="39" fillId="0" borderId="0" xfId="0" applyNumberFormat="1" applyFont="1" applyFill="1"/>
    <xf numFmtId="0" fontId="0" fillId="2" borderId="14" xfId="0" applyFill="1" applyBorder="1" applyAlignment="1" applyProtection="1">
      <alignment vertical="center"/>
    </xf>
    <xf numFmtId="22" fontId="36" fillId="2" borderId="0" xfId="0" applyNumberFormat="1" applyFont="1" applyFill="1" applyBorder="1" applyAlignment="1" applyProtection="1">
      <alignment horizontal="center" vertical="top"/>
    </xf>
    <xf numFmtId="0" fontId="59" fillId="2" borderId="0" xfId="0" applyFont="1" applyFill="1" applyAlignment="1" applyProtection="1">
      <alignment horizontal="right" vertical="center"/>
    </xf>
    <xf numFmtId="0" fontId="59" fillId="2" borderId="12" xfId="0" applyFont="1" applyFill="1" applyBorder="1" applyAlignment="1" applyProtection="1">
      <alignment horizontal="left" vertical="center"/>
    </xf>
    <xf numFmtId="0" fontId="6" fillId="2" borderId="0" xfId="0" applyFont="1" applyFill="1" applyAlignment="1" applyProtection="1">
      <alignment vertical="center"/>
    </xf>
    <xf numFmtId="0" fontId="8" fillId="5" borderId="13" xfId="0" applyFont="1" applyFill="1" applyBorder="1" applyAlignment="1" applyProtection="1"/>
    <xf numFmtId="0" fontId="50" fillId="2" borderId="14" xfId="0" applyFont="1" applyFill="1" applyBorder="1" applyAlignment="1" applyProtection="1">
      <alignment horizontal="right" vertical="center"/>
    </xf>
    <xf numFmtId="0" fontId="61" fillId="2" borderId="14" xfId="0" applyFont="1" applyFill="1" applyBorder="1" applyAlignment="1" applyProtection="1">
      <alignment horizontal="right" vertical="center"/>
    </xf>
    <xf numFmtId="0" fontId="28" fillId="2" borderId="15" xfId="0" applyFont="1" applyFill="1" applyBorder="1" applyAlignment="1" applyProtection="1">
      <alignment vertical="center"/>
    </xf>
    <xf numFmtId="0" fontId="54" fillId="2" borderId="16" xfId="0" applyFont="1" applyFill="1" applyBorder="1" applyAlignment="1" applyProtection="1">
      <alignment vertical="center"/>
    </xf>
    <xf numFmtId="0" fontId="62" fillId="2" borderId="0" xfId="0" applyFont="1" applyFill="1" applyBorder="1" applyAlignment="1" applyProtection="1">
      <alignment horizontal="right" vertical="center"/>
    </xf>
    <xf numFmtId="0" fontId="63" fillId="2" borderId="0" xfId="0" applyFont="1" applyFill="1" applyBorder="1" applyAlignment="1" applyProtection="1">
      <alignment horizontal="center" vertical="center"/>
    </xf>
    <xf numFmtId="0" fontId="53" fillId="2" borderId="0" xfId="0" applyFont="1" applyFill="1" applyBorder="1" applyAlignment="1" applyProtection="1">
      <alignment horizontal="center" vertical="center"/>
    </xf>
    <xf numFmtId="0" fontId="50" fillId="2" borderId="8" xfId="0" applyFont="1" applyFill="1" applyBorder="1" applyAlignment="1" applyProtection="1">
      <alignment horizontal="right" vertical="center"/>
    </xf>
    <xf numFmtId="0" fontId="64" fillId="2" borderId="12" xfId="0" applyFont="1" applyFill="1" applyBorder="1" applyAlignment="1" applyProtection="1">
      <alignment vertical="center"/>
    </xf>
    <xf numFmtId="0" fontId="8" fillId="2" borderId="9" xfId="0" applyFont="1" applyFill="1" applyBorder="1" applyAlignment="1" applyProtection="1">
      <alignment vertical="center"/>
    </xf>
    <xf numFmtId="0" fontId="43" fillId="5" borderId="13" xfId="0" applyFont="1" applyFill="1" applyBorder="1" applyAlignment="1" applyProtection="1">
      <alignment vertical="center"/>
    </xf>
    <xf numFmtId="0" fontId="29" fillId="5" borderId="13" xfId="0" applyFont="1" applyFill="1" applyBorder="1" applyAlignment="1" applyProtection="1">
      <alignment horizontal="center" vertical="center"/>
    </xf>
    <xf numFmtId="0" fontId="65" fillId="2" borderId="0" xfId="0" applyFont="1" applyFill="1" applyAlignment="1" applyProtection="1">
      <alignment vertical="center"/>
    </xf>
    <xf numFmtId="0" fontId="56" fillId="2" borderId="4" xfId="0" applyFont="1" applyFill="1" applyBorder="1" applyAlignment="1" applyProtection="1">
      <alignment horizontal="right" vertical="center"/>
    </xf>
    <xf numFmtId="0" fontId="66" fillId="2" borderId="0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</xf>
    <xf numFmtId="0" fontId="67" fillId="2" borderId="0" xfId="0" applyFont="1" applyFill="1" applyBorder="1" applyAlignment="1" applyProtection="1">
      <alignment horizontal="right" vertical="center"/>
    </xf>
    <xf numFmtId="0" fontId="68" fillId="2" borderId="0" xfId="0" applyFont="1" applyFill="1" applyAlignment="1" applyProtection="1">
      <alignment horizontal="right" vertical="center"/>
    </xf>
    <xf numFmtId="16" fontId="68" fillId="2" borderId="0" xfId="0" applyNumberFormat="1" applyFont="1" applyFill="1" applyAlignment="1" applyProtection="1">
      <alignment horizontal="right" vertical="center"/>
    </xf>
    <xf numFmtId="0" fontId="28" fillId="2" borderId="0" xfId="2" applyFill="1" applyProtection="1"/>
    <xf numFmtId="0" fontId="28" fillId="2" borderId="0" xfId="2" applyFill="1" applyAlignment="1" applyProtection="1">
      <alignment horizontal="center"/>
    </xf>
    <xf numFmtId="0" fontId="28" fillId="6" borderId="17" xfId="2" applyFill="1" applyBorder="1" applyProtection="1"/>
    <xf numFmtId="0" fontId="28" fillId="6" borderId="0" xfId="2" applyFill="1" applyBorder="1" applyProtection="1"/>
    <xf numFmtId="0" fontId="28" fillId="6" borderId="0" xfId="2" applyFill="1" applyBorder="1" applyAlignment="1" applyProtection="1">
      <alignment horizontal="center"/>
    </xf>
    <xf numFmtId="0" fontId="28" fillId="6" borderId="18" xfId="2" applyFill="1" applyBorder="1" applyProtection="1"/>
    <xf numFmtId="0" fontId="43" fillId="5" borderId="0" xfId="0" applyFont="1" applyFill="1" applyBorder="1" applyAlignment="1" applyProtection="1">
      <alignment vertical="center"/>
    </xf>
    <xf numFmtId="0" fontId="72" fillId="3" borderId="19" xfId="2" applyFont="1" applyFill="1" applyBorder="1" applyAlignment="1" applyProtection="1">
      <alignment horizontal="center" vertical="center"/>
    </xf>
    <xf numFmtId="0" fontId="72" fillId="3" borderId="20" xfId="2" applyFont="1" applyFill="1" applyBorder="1" applyAlignment="1" applyProtection="1">
      <alignment horizontal="center" vertical="center"/>
    </xf>
    <xf numFmtId="0" fontId="8" fillId="6" borderId="21" xfId="2" applyFont="1" applyFill="1" applyBorder="1" applyAlignment="1" applyProtection="1">
      <alignment horizontal="left" vertical="center" indent="1"/>
    </xf>
    <xf numFmtId="0" fontId="8" fillId="6" borderId="22" xfId="2" applyFont="1" applyFill="1" applyBorder="1" applyAlignment="1" applyProtection="1">
      <alignment horizontal="center" vertical="center"/>
    </xf>
    <xf numFmtId="0" fontId="8" fillId="6" borderId="23" xfId="2" applyFont="1" applyFill="1" applyBorder="1" applyAlignment="1" applyProtection="1">
      <alignment horizontal="left" vertical="center" indent="1"/>
    </xf>
    <xf numFmtId="0" fontId="8" fillId="6" borderId="24" xfId="2" applyFont="1" applyFill="1" applyBorder="1" applyAlignment="1" applyProtection="1">
      <alignment horizontal="center" vertical="center"/>
    </xf>
    <xf numFmtId="0" fontId="28" fillId="6" borderId="25" xfId="2" applyFill="1" applyBorder="1" applyProtection="1"/>
    <xf numFmtId="0" fontId="28" fillId="6" borderId="26" xfId="2" applyFill="1" applyBorder="1" applyProtection="1"/>
    <xf numFmtId="0" fontId="28" fillId="6" borderId="26" xfId="2" applyFill="1" applyBorder="1" applyAlignment="1" applyProtection="1">
      <alignment horizontal="center"/>
    </xf>
    <xf numFmtId="0" fontId="28" fillId="6" borderId="27" xfId="2" applyFill="1" applyBorder="1" applyProtection="1"/>
    <xf numFmtId="165" fontId="28" fillId="0" borderId="0" xfId="0" applyNumberFormat="1" applyFont="1" applyProtection="1"/>
    <xf numFmtId="2" fontId="28" fillId="6" borderId="0" xfId="0" applyNumberFormat="1" applyFont="1" applyFill="1" applyProtection="1"/>
    <xf numFmtId="0" fontId="0" fillId="0" borderId="0" xfId="0" applyProtection="1"/>
    <xf numFmtId="0" fontId="28" fillId="0" borderId="0" xfId="0" applyFont="1" applyAlignment="1" applyProtection="1">
      <alignment horizontal="center"/>
    </xf>
    <xf numFmtId="166" fontId="28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right"/>
    </xf>
    <xf numFmtId="20" fontId="28" fillId="0" borderId="0" xfId="0" applyNumberFormat="1" applyFont="1" applyProtection="1"/>
    <xf numFmtId="2" fontId="28" fillId="0" borderId="0" xfId="0" applyNumberFormat="1" applyFont="1" applyProtection="1"/>
    <xf numFmtId="0" fontId="28" fillId="0" borderId="0" xfId="0" applyNumberFormat="1" applyFont="1" applyAlignment="1" applyProtection="1">
      <alignment horizontal="center"/>
    </xf>
    <xf numFmtId="167" fontId="28" fillId="0" borderId="0" xfId="0" applyNumberFormat="1" applyFont="1" applyAlignment="1" applyProtection="1">
      <alignment horizontal="center"/>
    </xf>
    <xf numFmtId="165" fontId="28" fillId="0" borderId="0" xfId="0" applyNumberFormat="1" applyFont="1" applyAlignment="1" applyProtection="1">
      <alignment horizontal="center"/>
    </xf>
    <xf numFmtId="0" fontId="28" fillId="0" borderId="0" xfId="0" applyFont="1" applyProtection="1"/>
    <xf numFmtId="168" fontId="28" fillId="0" borderId="0" xfId="0" applyNumberFormat="1" applyFont="1" applyProtection="1"/>
    <xf numFmtId="0" fontId="8" fillId="0" borderId="0" xfId="0" applyFont="1" applyProtection="1"/>
    <xf numFmtId="0" fontId="8" fillId="0" borderId="0" xfId="0" applyFont="1" applyFill="1" applyBorder="1" applyAlignment="1" applyProtection="1">
      <alignment horizontal="centerContinuous"/>
    </xf>
    <xf numFmtId="0" fontId="8" fillId="0" borderId="0" xfId="0" applyFont="1" applyFill="1" applyBorder="1" applyAlignment="1" applyProtection="1">
      <alignment horizontal="center"/>
    </xf>
    <xf numFmtId="0" fontId="8" fillId="0" borderId="0" xfId="0" applyFont="1" applyFill="1" applyBorder="1" applyProtection="1"/>
    <xf numFmtId="169" fontId="8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 vertical="center"/>
    </xf>
    <xf numFmtId="0" fontId="75" fillId="0" borderId="0" xfId="0" applyFont="1" applyFill="1" applyBorder="1" applyAlignment="1" applyProtection="1">
      <alignment horizontal="center"/>
    </xf>
    <xf numFmtId="1" fontId="75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left"/>
    </xf>
    <xf numFmtId="0" fontId="50" fillId="0" borderId="0" xfId="0" applyFont="1" applyFill="1" applyBorder="1" applyAlignment="1" applyProtection="1">
      <alignment horizontal="center" vertical="center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8" fillId="7" borderId="0" xfId="0" applyFont="1" applyFill="1" applyBorder="1" applyAlignment="1" applyProtection="1">
      <alignment horizontal="center"/>
    </xf>
    <xf numFmtId="1" fontId="8" fillId="0" borderId="0" xfId="0" applyNumberFormat="1" applyFont="1" applyFill="1" applyBorder="1" applyAlignment="1" applyProtection="1">
      <alignment horizontal="center"/>
    </xf>
    <xf numFmtId="0" fontId="0" fillId="2" borderId="0" xfId="0" applyFill="1"/>
    <xf numFmtId="0" fontId="87" fillId="2" borderId="0" xfId="0" applyFont="1" applyFill="1" applyAlignment="1">
      <alignment horizontal="right"/>
    </xf>
    <xf numFmtId="0" fontId="0" fillId="8" borderId="28" xfId="0" applyFill="1" applyBorder="1" applyProtection="1">
      <protection hidden="1"/>
    </xf>
    <xf numFmtId="0" fontId="0" fillId="8" borderId="29" xfId="0" applyFill="1" applyBorder="1" applyProtection="1">
      <protection hidden="1"/>
    </xf>
    <xf numFmtId="0" fontId="0" fillId="8" borderId="30" xfId="0" applyFill="1" applyBorder="1" applyProtection="1">
      <protection hidden="1"/>
    </xf>
    <xf numFmtId="0" fontId="0" fillId="9" borderId="0" xfId="0" applyFill="1" applyProtection="1">
      <protection hidden="1"/>
    </xf>
    <xf numFmtId="0" fontId="0" fillId="9" borderId="0" xfId="0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94" fillId="10" borderId="31" xfId="0" applyFont="1" applyFill="1" applyBorder="1" applyAlignment="1" applyProtection="1">
      <alignment horizontal="center" vertical="center"/>
      <protection hidden="1"/>
    </xf>
    <xf numFmtId="0" fontId="43" fillId="7" borderId="32" xfId="0" applyFont="1" applyFill="1" applyBorder="1" applyAlignment="1" applyProtection="1">
      <alignment horizontal="center" vertical="center"/>
      <protection hidden="1"/>
    </xf>
    <xf numFmtId="0" fontId="5" fillId="7" borderId="33" xfId="0" applyFont="1" applyFill="1" applyBorder="1" applyAlignment="1" applyProtection="1">
      <alignment horizontal="left" vertical="center"/>
      <protection hidden="1"/>
    </xf>
    <xf numFmtId="0" fontId="0" fillId="7" borderId="34" xfId="0" applyFill="1" applyBorder="1" applyAlignment="1" applyProtection="1">
      <alignment horizontal="center" vertical="center"/>
      <protection hidden="1"/>
    </xf>
    <xf numFmtId="1" fontId="0" fillId="7" borderId="35" xfId="0" applyNumberFormat="1" applyFill="1" applyBorder="1" applyAlignment="1" applyProtection="1">
      <alignment horizontal="center" vertical="center"/>
      <protection hidden="1"/>
    </xf>
    <xf numFmtId="170" fontId="0" fillId="7" borderId="36" xfId="0" applyNumberFormat="1" applyFill="1" applyBorder="1" applyAlignment="1" applyProtection="1">
      <alignment horizontal="center" vertical="center"/>
      <protection hidden="1"/>
    </xf>
    <xf numFmtId="169" fontId="0" fillId="7" borderId="36" xfId="0" applyNumberFormat="1" applyFill="1" applyBorder="1" applyAlignment="1" applyProtection="1">
      <alignment horizontal="center" vertical="center"/>
      <protection hidden="1"/>
    </xf>
    <xf numFmtId="2" fontId="0" fillId="7" borderId="32" xfId="0" applyNumberFormat="1" applyFill="1" applyBorder="1" applyAlignment="1" applyProtection="1">
      <alignment horizontal="center" vertical="center"/>
      <protection hidden="1"/>
    </xf>
    <xf numFmtId="0" fontId="43" fillId="7" borderId="37" xfId="0" applyFont="1" applyFill="1" applyBorder="1" applyAlignment="1" applyProtection="1">
      <alignment horizontal="center" vertical="center"/>
      <protection hidden="1"/>
    </xf>
    <xf numFmtId="0" fontId="5" fillId="7" borderId="38" xfId="0" applyFont="1" applyFill="1" applyBorder="1" applyAlignment="1" applyProtection="1">
      <alignment horizontal="left" vertical="center"/>
      <protection hidden="1"/>
    </xf>
    <xf numFmtId="0" fontId="0" fillId="7" borderId="39" xfId="0" applyFill="1" applyBorder="1" applyAlignment="1" applyProtection="1">
      <alignment horizontal="center" vertical="center"/>
      <protection hidden="1"/>
    </xf>
    <xf numFmtId="1" fontId="0" fillId="7" borderId="40" xfId="0" applyNumberFormat="1" applyFill="1" applyBorder="1" applyAlignment="1" applyProtection="1">
      <alignment horizontal="center" vertical="center"/>
      <protection hidden="1"/>
    </xf>
    <xf numFmtId="170" fontId="0" fillId="7" borderId="41" xfId="0" applyNumberFormat="1" applyFill="1" applyBorder="1" applyAlignment="1" applyProtection="1">
      <alignment horizontal="center" vertical="center"/>
      <protection hidden="1"/>
    </xf>
    <xf numFmtId="169" fontId="0" fillId="7" borderId="41" xfId="0" applyNumberFormat="1" applyFill="1" applyBorder="1" applyAlignment="1" applyProtection="1">
      <alignment horizontal="center" vertical="center"/>
      <protection hidden="1"/>
    </xf>
    <xf numFmtId="2" fontId="0" fillId="7" borderId="37" xfId="0" applyNumberFormat="1" applyFill="1" applyBorder="1" applyAlignment="1" applyProtection="1">
      <alignment horizontal="center" vertical="center"/>
      <protection hidden="1"/>
    </xf>
    <xf numFmtId="0" fontId="43" fillId="7" borderId="42" xfId="0" applyFont="1" applyFill="1" applyBorder="1" applyAlignment="1" applyProtection="1">
      <alignment horizontal="center" vertical="center"/>
      <protection hidden="1"/>
    </xf>
    <xf numFmtId="0" fontId="5" fillId="7" borderId="43" xfId="0" applyFont="1" applyFill="1" applyBorder="1" applyAlignment="1" applyProtection="1">
      <alignment horizontal="left" vertical="center"/>
      <protection hidden="1"/>
    </xf>
    <xf numFmtId="0" fontId="0" fillId="7" borderId="44" xfId="0" applyFill="1" applyBorder="1" applyAlignment="1" applyProtection="1">
      <alignment horizontal="center" vertical="center"/>
      <protection hidden="1"/>
    </xf>
    <xf numFmtId="1" fontId="0" fillId="7" borderId="45" xfId="0" applyNumberFormat="1" applyFill="1" applyBorder="1" applyAlignment="1" applyProtection="1">
      <alignment horizontal="center" vertical="center"/>
      <protection hidden="1"/>
    </xf>
    <xf numFmtId="170" fontId="0" fillId="7" borderId="46" xfId="0" applyNumberFormat="1" applyFill="1" applyBorder="1" applyAlignment="1" applyProtection="1">
      <alignment horizontal="center" vertical="center"/>
      <protection hidden="1"/>
    </xf>
    <xf numFmtId="169" fontId="0" fillId="7" borderId="46" xfId="0" applyNumberFormat="1" applyFill="1" applyBorder="1" applyAlignment="1" applyProtection="1">
      <alignment horizontal="center" vertical="center"/>
      <protection hidden="1"/>
    </xf>
    <xf numFmtId="2" fontId="0" fillId="7" borderId="42" xfId="0" applyNumberFormat="1" applyFill="1" applyBorder="1" applyAlignment="1" applyProtection="1">
      <alignment horizontal="center" vertical="center"/>
      <protection hidden="1"/>
    </xf>
    <xf numFmtId="0" fontId="0" fillId="8" borderId="25" xfId="0" applyFill="1" applyBorder="1" applyProtection="1">
      <protection hidden="1"/>
    </xf>
    <xf numFmtId="0" fontId="0" fillId="8" borderId="47" xfId="0" applyFill="1" applyBorder="1" applyProtection="1">
      <protection hidden="1"/>
    </xf>
    <xf numFmtId="0" fontId="0" fillId="8" borderId="47" xfId="0" applyFill="1" applyBorder="1" applyAlignment="1" applyProtection="1">
      <alignment horizontal="center" vertical="center"/>
      <protection hidden="1"/>
    </xf>
    <xf numFmtId="0" fontId="0" fillId="8" borderId="27" xfId="0" applyFill="1" applyBorder="1" applyProtection="1">
      <protection hidden="1"/>
    </xf>
    <xf numFmtId="0" fontId="28" fillId="2" borderId="0" xfId="2" applyFill="1" applyAlignment="1" applyProtection="1">
      <alignment horizontal="right" indent="1"/>
    </xf>
    <xf numFmtId="0" fontId="28" fillId="2" borderId="0" xfId="2" applyFill="1" applyAlignment="1" applyProtection="1">
      <alignment horizontal="left" indent="1"/>
    </xf>
    <xf numFmtId="0" fontId="28" fillId="2" borderId="0" xfId="2" applyFill="1" applyAlignment="1" applyProtection="1">
      <alignment horizontal="right" vertical="center" indent="1"/>
    </xf>
    <xf numFmtId="0" fontId="28" fillId="2" borderId="0" xfId="2" applyFill="1" applyAlignment="1" applyProtection="1">
      <alignment horizontal="center" vertical="center"/>
    </xf>
    <xf numFmtId="0" fontId="28" fillId="2" borderId="0" xfId="2" applyFill="1" applyAlignment="1" applyProtection="1">
      <alignment horizontal="left" vertical="center" indent="1"/>
    </xf>
    <xf numFmtId="0" fontId="95" fillId="4" borderId="48" xfId="2" applyFont="1" applyFill="1" applyBorder="1" applyAlignment="1" applyProtection="1">
      <alignment horizontal="center" vertical="center"/>
    </xf>
    <xf numFmtId="0" fontId="77" fillId="2" borderId="0" xfId="2" applyFont="1" applyFill="1" applyAlignment="1" applyProtection="1">
      <alignment vertical="center"/>
    </xf>
    <xf numFmtId="0" fontId="95" fillId="4" borderId="49" xfId="2" applyFont="1" applyFill="1" applyBorder="1" applyAlignment="1" applyProtection="1">
      <alignment horizontal="center" vertical="center"/>
    </xf>
    <xf numFmtId="0" fontId="28" fillId="2" borderId="0" xfId="2" applyFill="1" applyAlignment="1" applyProtection="1">
      <alignment horizontal="left"/>
    </xf>
    <xf numFmtId="0" fontId="95" fillId="4" borderId="21" xfId="2" applyFont="1" applyFill="1" applyBorder="1" applyAlignment="1" applyProtection="1">
      <alignment horizontal="right" vertical="center" indent="1"/>
    </xf>
    <xf numFmtId="0" fontId="43" fillId="2" borderId="0" xfId="2" applyFont="1" applyFill="1" applyAlignment="1" applyProtection="1">
      <alignment vertical="center"/>
    </xf>
    <xf numFmtId="0" fontId="96" fillId="4" borderId="0" xfId="2" applyFont="1" applyFill="1" applyBorder="1" applyAlignment="1" applyProtection="1">
      <alignment horizontal="left" vertical="center" indent="1"/>
    </xf>
    <xf numFmtId="0" fontId="95" fillId="4" borderId="0" xfId="2" applyFont="1" applyFill="1" applyBorder="1" applyAlignment="1" applyProtection="1">
      <alignment horizontal="left" vertical="center" indent="1"/>
    </xf>
    <xf numFmtId="0" fontId="95" fillId="4" borderId="0" xfId="2" applyFont="1" applyFill="1" applyBorder="1" applyAlignment="1" applyProtection="1">
      <alignment horizontal="center" vertical="center"/>
    </xf>
    <xf numFmtId="0" fontId="95" fillId="4" borderId="0" xfId="2" applyFont="1" applyFill="1" applyBorder="1" applyAlignment="1" applyProtection="1">
      <alignment horizontal="left" vertical="center"/>
    </xf>
    <xf numFmtId="0" fontId="95" fillId="4" borderId="22" xfId="2" applyFont="1" applyFill="1" applyBorder="1" applyAlignment="1" applyProtection="1">
      <alignment horizontal="left"/>
    </xf>
    <xf numFmtId="0" fontId="28" fillId="2" borderId="0" xfId="2" applyFill="1" applyAlignment="1" applyProtection="1">
      <alignment vertical="center"/>
    </xf>
    <xf numFmtId="0" fontId="95" fillId="4" borderId="50" xfId="2" applyFont="1" applyFill="1" applyBorder="1" applyAlignment="1" applyProtection="1">
      <alignment horizontal="center" vertical="center"/>
    </xf>
    <xf numFmtId="0" fontId="95" fillId="4" borderId="23" xfId="2" applyFont="1" applyFill="1" applyBorder="1" applyAlignment="1" applyProtection="1">
      <alignment horizontal="right" vertical="center" indent="1"/>
    </xf>
    <xf numFmtId="0" fontId="97" fillId="4" borderId="51" xfId="2" applyFont="1" applyFill="1" applyBorder="1" applyAlignment="1" applyProtection="1">
      <alignment horizontal="center" vertical="center"/>
    </xf>
    <xf numFmtId="0" fontId="28" fillId="2" borderId="52" xfId="2" applyFill="1" applyBorder="1" applyAlignment="1" applyProtection="1">
      <alignment horizontal="centerContinuous"/>
    </xf>
    <xf numFmtId="0" fontId="28" fillId="2" borderId="53" xfId="2" applyFill="1" applyBorder="1" applyAlignment="1" applyProtection="1">
      <alignment horizontal="centerContinuous" vertical="center" wrapText="1"/>
    </xf>
    <xf numFmtId="0" fontId="28" fillId="2" borderId="53" xfId="2" applyFill="1" applyBorder="1" applyAlignment="1" applyProtection="1">
      <alignment horizontal="center"/>
    </xf>
    <xf numFmtId="0" fontId="81" fillId="2" borderId="54" xfId="2" applyFont="1" applyFill="1" applyBorder="1" applyAlignment="1" applyProtection="1">
      <alignment horizontal="centerContinuous" vertical="center"/>
    </xf>
    <xf numFmtId="0" fontId="81" fillId="2" borderId="55" xfId="2" applyFont="1" applyFill="1" applyBorder="1" applyAlignment="1" applyProtection="1">
      <alignment horizontal="centerContinuous" vertical="center"/>
    </xf>
    <xf numFmtId="0" fontId="28" fillId="2" borderId="56" xfId="2" applyFill="1" applyBorder="1" applyAlignment="1" applyProtection="1">
      <alignment horizontal="center"/>
    </xf>
    <xf numFmtId="0" fontId="87" fillId="2" borderId="0" xfId="2" applyFont="1" applyFill="1" applyProtection="1"/>
    <xf numFmtId="0" fontId="95" fillId="2" borderId="57" xfId="2" applyFont="1" applyFill="1" applyBorder="1" applyAlignment="1" applyProtection="1">
      <alignment horizontal="right" indent="1"/>
    </xf>
    <xf numFmtId="0" fontId="96" fillId="2" borderId="58" xfId="2" applyFont="1" applyFill="1" applyBorder="1" applyAlignment="1" applyProtection="1">
      <alignment horizontal="center" vertical="center"/>
      <protection locked="0"/>
    </xf>
    <xf numFmtId="0" fontId="82" fillId="2" borderId="57" xfId="2" applyFont="1" applyFill="1" applyBorder="1" applyAlignment="1" applyProtection="1">
      <alignment horizontal="center"/>
    </xf>
    <xf numFmtId="0" fontId="95" fillId="2" borderId="57" xfId="2" applyFont="1" applyFill="1" applyBorder="1" applyAlignment="1" applyProtection="1">
      <alignment horizontal="left" indent="1"/>
    </xf>
    <xf numFmtId="0" fontId="28" fillId="2" borderId="59" xfId="2" applyFont="1" applyFill="1" applyBorder="1" applyAlignment="1" applyProtection="1">
      <alignment horizontal="center" vertical="center"/>
    </xf>
    <xf numFmtId="0" fontId="28" fillId="2" borderId="59" xfId="2" quotePrefix="1" applyFont="1" applyFill="1" applyBorder="1" applyAlignment="1" applyProtection="1">
      <alignment horizontal="center" vertical="center"/>
    </xf>
    <xf numFmtId="0" fontId="28" fillId="2" borderId="57" xfId="2" applyFill="1" applyBorder="1" applyAlignment="1" applyProtection="1">
      <alignment horizontal="center" vertical="center"/>
    </xf>
    <xf numFmtId="0" fontId="95" fillId="2" borderId="54" xfId="2" applyFont="1" applyFill="1" applyBorder="1" applyAlignment="1" applyProtection="1">
      <alignment horizontal="center"/>
    </xf>
    <xf numFmtId="0" fontId="95" fillId="2" borderId="60" xfId="2" applyFont="1" applyFill="1" applyBorder="1" applyAlignment="1" applyProtection="1">
      <alignment horizontal="right" vertical="center" indent="1"/>
    </xf>
    <xf numFmtId="0" fontId="96" fillId="2" borderId="61" xfId="2" applyFont="1" applyFill="1" applyBorder="1" applyAlignment="1" applyProtection="1">
      <alignment horizontal="center" vertical="center"/>
      <protection locked="0"/>
    </xf>
    <xf numFmtId="0" fontId="98" fillId="2" borderId="61" xfId="2" applyFont="1" applyFill="1" applyBorder="1" applyAlignment="1" applyProtection="1">
      <alignment horizontal="center" vertical="center"/>
      <protection locked="0"/>
    </xf>
    <xf numFmtId="0" fontId="98" fillId="2" borderId="61" xfId="2" applyFont="1" applyFill="1" applyBorder="1" applyAlignment="1" applyProtection="1">
      <alignment horizontal="center" vertical="center"/>
    </xf>
    <xf numFmtId="0" fontId="95" fillId="2" borderId="60" xfId="2" applyFont="1" applyFill="1" applyBorder="1" applyAlignment="1" applyProtection="1">
      <alignment horizontal="left" vertical="center" indent="1"/>
    </xf>
    <xf numFmtId="0" fontId="95" fillId="11" borderId="59" xfId="2" applyFont="1" applyFill="1" applyBorder="1" applyAlignment="1" applyProtection="1">
      <alignment horizontal="center" vertical="center"/>
    </xf>
    <xf numFmtId="0" fontId="28" fillId="2" borderId="57" xfId="2" applyFont="1" applyFill="1" applyBorder="1" applyAlignment="1" applyProtection="1">
      <alignment horizontal="right" vertical="center" indent="1"/>
    </xf>
    <xf numFmtId="0" fontId="28" fillId="2" borderId="61" xfId="2" applyFont="1" applyFill="1" applyBorder="1" applyAlignment="1" applyProtection="1">
      <alignment horizontal="center" vertical="center"/>
    </xf>
    <xf numFmtId="0" fontId="98" fillId="2" borderId="57" xfId="2" applyFont="1" applyFill="1" applyBorder="1" applyAlignment="1" applyProtection="1">
      <alignment horizontal="center"/>
    </xf>
    <xf numFmtId="0" fontId="28" fillId="2" borderId="57" xfId="2" applyFont="1" applyFill="1" applyBorder="1" applyAlignment="1" applyProtection="1">
      <alignment horizontal="left" vertical="center" indent="1"/>
    </xf>
    <xf numFmtId="0" fontId="28" fillId="2" borderId="60" xfId="2" applyFill="1" applyBorder="1" applyAlignment="1" applyProtection="1">
      <alignment horizontal="center" vertical="center"/>
    </xf>
    <xf numFmtId="0" fontId="95" fillId="2" borderId="62" xfId="2" applyFont="1" applyFill="1" applyBorder="1" applyAlignment="1" applyProtection="1">
      <alignment horizontal="right" indent="1"/>
    </xf>
    <xf numFmtId="0" fontId="96" fillId="2" borderId="63" xfId="2" applyFont="1" applyFill="1" applyBorder="1" applyAlignment="1" applyProtection="1">
      <alignment horizontal="center" vertical="center"/>
      <protection locked="0"/>
    </xf>
    <xf numFmtId="0" fontId="98" fillId="2" borderId="62" xfId="2" applyFont="1" applyFill="1" applyBorder="1" applyAlignment="1" applyProtection="1">
      <alignment horizontal="center"/>
    </xf>
    <xf numFmtId="0" fontId="95" fillId="2" borderId="62" xfId="2" applyFont="1" applyFill="1" applyBorder="1" applyAlignment="1" applyProtection="1">
      <alignment horizontal="left" indent="1"/>
    </xf>
    <xf numFmtId="0" fontId="28" fillId="2" borderId="62" xfId="2" applyFont="1" applyFill="1" applyBorder="1" applyAlignment="1" applyProtection="1">
      <alignment horizontal="center" vertical="center"/>
    </xf>
    <xf numFmtId="0" fontId="28" fillId="2" borderId="62" xfId="2" quotePrefix="1" applyFont="1" applyFill="1" applyBorder="1" applyAlignment="1" applyProtection="1">
      <alignment horizontal="center" vertical="center"/>
    </xf>
    <xf numFmtId="0" fontId="28" fillId="2" borderId="62" xfId="2" applyFill="1" applyBorder="1" applyAlignment="1" applyProtection="1">
      <alignment horizontal="center" vertical="center"/>
    </xf>
    <xf numFmtId="0" fontId="95" fillId="2" borderId="64" xfId="2" applyFont="1" applyFill="1" applyBorder="1" applyAlignment="1" applyProtection="1">
      <alignment horizontal="right" vertical="center" indent="1"/>
    </xf>
    <xf numFmtId="0" fontId="98" fillId="2" borderId="63" xfId="2" applyFont="1" applyFill="1" applyBorder="1" applyAlignment="1" applyProtection="1">
      <alignment horizontal="center" vertical="center"/>
      <protection locked="0"/>
    </xf>
    <xf numFmtId="0" fontId="98" fillId="2" borderId="63" xfId="2" applyFont="1" applyFill="1" applyBorder="1" applyAlignment="1" applyProtection="1">
      <alignment horizontal="center" vertical="center"/>
    </xf>
    <xf numFmtId="0" fontId="95" fillId="2" borderId="64" xfId="2" applyFont="1" applyFill="1" applyBorder="1" applyAlignment="1" applyProtection="1">
      <alignment horizontal="left" vertical="center" indent="1"/>
    </xf>
    <xf numFmtId="0" fontId="95" fillId="11" borderId="0" xfId="2" applyFont="1" applyFill="1" applyBorder="1" applyAlignment="1" applyProtection="1">
      <alignment horizontal="center" vertical="center"/>
    </xf>
    <xf numFmtId="0" fontId="28" fillId="2" borderId="62" xfId="2" applyFont="1" applyFill="1" applyBorder="1" applyAlignment="1" applyProtection="1">
      <alignment horizontal="right" vertical="center" indent="1"/>
    </xf>
    <xf numFmtId="0" fontId="28" fillId="2" borderId="63" xfId="2" applyFont="1" applyFill="1" applyBorder="1" applyAlignment="1" applyProtection="1">
      <alignment horizontal="center" vertical="center"/>
    </xf>
    <xf numFmtId="0" fontId="28" fillId="2" borderId="62" xfId="2" applyFont="1" applyFill="1" applyBorder="1" applyAlignment="1" applyProtection="1">
      <alignment horizontal="left" vertical="center" indent="1"/>
    </xf>
    <xf numFmtId="0" fontId="28" fillId="2" borderId="64" xfId="2" applyFill="1" applyBorder="1" applyAlignment="1" applyProtection="1">
      <alignment horizontal="center" vertical="center"/>
    </xf>
    <xf numFmtId="0" fontId="82" fillId="2" borderId="62" xfId="2" applyFont="1" applyFill="1" applyBorder="1" applyAlignment="1" applyProtection="1">
      <alignment horizontal="center"/>
    </xf>
    <xf numFmtId="0" fontId="95" fillId="2" borderId="53" xfId="2" applyFont="1" applyFill="1" applyBorder="1" applyAlignment="1" applyProtection="1">
      <alignment horizontal="right" indent="1"/>
    </xf>
    <xf numFmtId="0" fontId="96" fillId="2" borderId="65" xfId="2" applyFont="1" applyFill="1" applyBorder="1" applyAlignment="1" applyProtection="1">
      <alignment horizontal="center" vertical="center"/>
      <protection locked="0"/>
    </xf>
    <xf numFmtId="0" fontId="82" fillId="2" borderId="53" xfId="2" applyFont="1" applyFill="1" applyBorder="1" applyAlignment="1" applyProtection="1">
      <alignment horizontal="center"/>
    </xf>
    <xf numFmtId="0" fontId="95" fillId="2" borderId="53" xfId="2" applyFont="1" applyFill="1" applyBorder="1" applyAlignment="1" applyProtection="1">
      <alignment horizontal="left" indent="1"/>
    </xf>
    <xf numFmtId="0" fontId="28" fillId="2" borderId="53" xfId="2" applyFont="1" applyFill="1" applyBorder="1" applyAlignment="1" applyProtection="1">
      <alignment horizontal="center" vertical="center"/>
    </xf>
    <xf numFmtId="0" fontId="28" fillId="2" borderId="53" xfId="2" quotePrefix="1" applyFont="1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7" xfId="2" applyFill="1" applyBorder="1" applyProtection="1"/>
    <xf numFmtId="0" fontId="81" fillId="2" borderId="53" xfId="2" applyFont="1" applyFill="1" applyBorder="1" applyProtection="1"/>
    <xf numFmtId="0" fontId="28" fillId="2" borderId="53" xfId="2" applyFill="1" applyBorder="1" applyAlignment="1" applyProtection="1">
      <alignment horizontal="centerContinuous" vertical="center"/>
    </xf>
    <xf numFmtId="0" fontId="95" fillId="2" borderId="66" xfId="2" applyFont="1" applyFill="1" applyBorder="1" applyAlignment="1" applyProtection="1">
      <alignment horizontal="right" vertical="center" indent="1"/>
    </xf>
    <xf numFmtId="0" fontId="98" fillId="2" borderId="65" xfId="2" applyFont="1" applyFill="1" applyBorder="1" applyAlignment="1" applyProtection="1">
      <alignment horizontal="center" vertical="center"/>
      <protection locked="0"/>
    </xf>
    <xf numFmtId="0" fontId="98" fillId="2" borderId="65" xfId="2" applyFont="1" applyFill="1" applyBorder="1" applyAlignment="1" applyProtection="1">
      <alignment horizontal="center" vertical="center"/>
    </xf>
    <xf numFmtId="0" fontId="95" fillId="2" borderId="66" xfId="2" applyFont="1" applyFill="1" applyBorder="1" applyAlignment="1" applyProtection="1">
      <alignment horizontal="left" vertical="center" indent="1"/>
    </xf>
    <xf numFmtId="0" fontId="95" fillId="11" borderId="67" xfId="2" applyFont="1" applyFill="1" applyBorder="1" applyAlignment="1" applyProtection="1">
      <alignment horizontal="center" vertical="center"/>
    </xf>
    <xf numFmtId="0" fontId="28" fillId="2" borderId="53" xfId="2" applyFont="1" applyFill="1" applyBorder="1" applyAlignment="1" applyProtection="1">
      <alignment horizontal="right" vertical="center" indent="1"/>
    </xf>
    <xf numFmtId="0" fontId="28" fillId="2" borderId="65" xfId="2" applyFont="1" applyFill="1" applyBorder="1" applyAlignment="1" applyProtection="1">
      <alignment horizontal="center" vertical="center"/>
    </xf>
    <xf numFmtId="0" fontId="98" fillId="2" borderId="53" xfId="2" applyFont="1" applyFill="1" applyBorder="1" applyAlignment="1" applyProtection="1">
      <alignment horizontal="center"/>
    </xf>
    <xf numFmtId="0" fontId="28" fillId="2" borderId="53" xfId="2" applyFont="1" applyFill="1" applyBorder="1" applyAlignment="1" applyProtection="1">
      <alignment horizontal="left" vertical="center" indent="1"/>
    </xf>
    <xf numFmtId="0" fontId="28" fillId="2" borderId="66" xfId="2" applyFill="1" applyBorder="1" applyAlignment="1" applyProtection="1">
      <alignment horizontal="center" vertical="center"/>
    </xf>
    <xf numFmtId="0" fontId="28" fillId="2" borderId="52" xfId="2" applyFill="1" applyBorder="1" applyAlignment="1" applyProtection="1">
      <alignment horizontal="center" vertical="center"/>
    </xf>
    <xf numFmtId="0" fontId="81" fillId="2" borderId="53" xfId="2" applyFont="1" applyFill="1" applyBorder="1" applyAlignment="1" applyProtection="1">
      <alignment horizontal="center" vertical="center"/>
    </xf>
    <xf numFmtId="0" fontId="95" fillId="2" borderId="57" xfId="2" applyFont="1" applyFill="1" applyBorder="1" applyAlignment="1" applyProtection="1">
      <alignment horizontal="right" vertical="center" indent="1"/>
    </xf>
    <xf numFmtId="0" fontId="95" fillId="2" borderId="57" xfId="2" applyFont="1" applyFill="1" applyBorder="1" applyAlignment="1" applyProtection="1">
      <alignment horizontal="left" vertical="center" indent="1"/>
    </xf>
    <xf numFmtId="0" fontId="95" fillId="2" borderId="62" xfId="2" applyFont="1" applyFill="1" applyBorder="1" applyAlignment="1" applyProtection="1">
      <alignment horizontal="right" vertical="center" indent="1"/>
    </xf>
    <xf numFmtId="0" fontId="95" fillId="2" borderId="62" xfId="2" applyFont="1" applyFill="1" applyBorder="1" applyAlignment="1" applyProtection="1">
      <alignment horizontal="left" vertical="center" indent="1"/>
    </xf>
    <xf numFmtId="0" fontId="95" fillId="2" borderId="53" xfId="2" applyFont="1" applyFill="1" applyBorder="1" applyAlignment="1" applyProtection="1">
      <alignment horizontal="right" vertical="center" indent="1"/>
    </xf>
    <xf numFmtId="0" fontId="95" fillId="2" borderId="53" xfId="2" applyFont="1" applyFill="1" applyBorder="1" applyAlignment="1" applyProtection="1">
      <alignment horizontal="left" vertical="center" indent="1"/>
    </xf>
    <xf numFmtId="0" fontId="28" fillId="2" borderId="0" xfId="2" applyFill="1" applyAlignment="1" applyProtection="1">
      <alignment horizontal="right" vertical="center"/>
    </xf>
    <xf numFmtId="0" fontId="28" fillId="2" borderId="0" xfId="2" applyFill="1" applyAlignment="1" applyProtection="1">
      <alignment horizontal="left" vertical="center"/>
    </xf>
    <xf numFmtId="0" fontId="28" fillId="2" borderId="53" xfId="2" applyFill="1" applyBorder="1" applyAlignment="1" applyProtection="1">
      <alignment horizontal="center" vertical="center" wrapText="1"/>
    </xf>
    <xf numFmtId="0" fontId="95" fillId="2" borderId="68" xfId="2" applyFont="1" applyFill="1" applyBorder="1" applyAlignment="1" applyProtection="1">
      <alignment horizontal="right" vertical="center" indent="1"/>
    </xf>
    <xf numFmtId="0" fontId="96" fillId="2" borderId="69" xfId="2" applyFont="1" applyFill="1" applyBorder="1" applyAlignment="1" applyProtection="1">
      <alignment horizontal="center" vertical="center"/>
      <protection locked="0"/>
    </xf>
    <xf numFmtId="0" fontId="98" fillId="2" borderId="69" xfId="2" applyFont="1" applyFill="1" applyBorder="1" applyAlignment="1" applyProtection="1">
      <alignment horizontal="center" vertical="center"/>
      <protection locked="0"/>
    </xf>
    <xf numFmtId="0" fontId="98" fillId="2" borderId="69" xfId="2" applyFont="1" applyFill="1" applyBorder="1" applyAlignment="1" applyProtection="1">
      <alignment horizontal="center" vertical="center"/>
    </xf>
    <xf numFmtId="0" fontId="95" fillId="2" borderId="68" xfId="2" applyFont="1" applyFill="1" applyBorder="1" applyAlignment="1" applyProtection="1">
      <alignment horizontal="left" vertical="center" indent="1"/>
    </xf>
    <xf numFmtId="0" fontId="95" fillId="11" borderId="68" xfId="2" applyFont="1" applyFill="1" applyBorder="1" applyAlignment="1" applyProtection="1">
      <alignment horizontal="center" vertical="center"/>
    </xf>
    <xf numFmtId="0" fontId="28" fillId="2" borderId="68" xfId="2" applyFont="1" applyFill="1" applyBorder="1" applyAlignment="1" applyProtection="1">
      <alignment horizontal="right" vertical="center" indent="1"/>
    </xf>
    <xf numFmtId="0" fontId="28" fillId="2" borderId="69" xfId="2" applyFont="1" applyFill="1" applyBorder="1" applyAlignment="1" applyProtection="1">
      <alignment horizontal="center" vertical="center"/>
    </xf>
    <xf numFmtId="0" fontId="98" fillId="2" borderId="68" xfId="2" applyFont="1" applyFill="1" applyBorder="1" applyAlignment="1" applyProtection="1">
      <alignment horizontal="center"/>
    </xf>
    <xf numFmtId="0" fontId="28" fillId="2" borderId="68" xfId="2" applyFont="1" applyFill="1" applyBorder="1" applyAlignment="1" applyProtection="1">
      <alignment horizontal="left" vertical="center" indent="1"/>
    </xf>
    <xf numFmtId="0" fontId="28" fillId="2" borderId="68" xfId="2" applyFill="1" applyBorder="1" applyAlignment="1" applyProtection="1">
      <alignment horizontal="center" vertical="center"/>
    </xf>
    <xf numFmtId="0" fontId="81" fillId="2" borderId="67" xfId="2" applyFont="1" applyFill="1" applyBorder="1" applyAlignment="1" applyProtection="1">
      <alignment horizontal="center" vertical="center"/>
    </xf>
    <xf numFmtId="0" fontId="87" fillId="2" borderId="0" xfId="2" applyFont="1" applyFill="1" applyAlignment="1" applyProtection="1">
      <alignment horizontal="left" vertical="center" indent="1"/>
    </xf>
    <xf numFmtId="0" fontId="0" fillId="0" borderId="0" xfId="0" applyAlignment="1">
      <alignment vertical="center"/>
    </xf>
    <xf numFmtId="0" fontId="28" fillId="0" borderId="0" xfId="0" applyFont="1" applyAlignment="1">
      <alignment vertical="center"/>
    </xf>
    <xf numFmtId="0" fontId="28" fillId="0" borderId="16" xfId="0" applyFont="1" applyBorder="1" applyAlignment="1" applyProtection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8" fillId="0" borderId="0" xfId="0" applyFont="1" applyAlignment="1" applyProtection="1">
      <alignment horizontal="center" vertical="center"/>
    </xf>
    <xf numFmtId="0" fontId="83" fillId="0" borderId="0" xfId="0" applyFont="1" applyBorder="1" applyAlignment="1">
      <alignment horizontal="center" vertical="center"/>
    </xf>
    <xf numFmtId="0" fontId="28" fillId="0" borderId="67" xfId="0" applyFont="1" applyBorder="1" applyAlignment="1">
      <alignment vertical="center"/>
    </xf>
    <xf numFmtId="0" fontId="28" fillId="0" borderId="70" xfId="0" applyFont="1" applyBorder="1" applyAlignment="1">
      <alignment vertical="center"/>
    </xf>
    <xf numFmtId="0" fontId="28" fillId="0" borderId="71" xfId="0" applyFont="1" applyBorder="1" applyAlignment="1">
      <alignment vertical="center"/>
    </xf>
    <xf numFmtId="0" fontId="28" fillId="0" borderId="0" xfId="0" applyFont="1" applyAlignment="1">
      <alignment horizontal="left" vertical="center"/>
    </xf>
    <xf numFmtId="0" fontId="28" fillId="0" borderId="0" xfId="0" applyFont="1" applyAlignment="1" applyProtection="1">
      <alignment vertical="center"/>
    </xf>
    <xf numFmtId="0" fontId="28" fillId="0" borderId="72" xfId="0" applyFont="1" applyBorder="1" applyAlignment="1">
      <alignment vertical="center"/>
    </xf>
    <xf numFmtId="0" fontId="28" fillId="0" borderId="73" xfId="0" applyFont="1" applyBorder="1" applyAlignment="1">
      <alignment vertical="center"/>
    </xf>
    <xf numFmtId="0" fontId="28" fillId="0" borderId="67" xfId="0" applyFont="1" applyBorder="1" applyAlignment="1" applyProtection="1">
      <alignment vertical="center"/>
    </xf>
    <xf numFmtId="0" fontId="28" fillId="0" borderId="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72" xfId="0" applyBorder="1" applyAlignment="1">
      <alignment vertical="center"/>
    </xf>
    <xf numFmtId="0" fontId="95" fillId="2" borderId="63" xfId="2" applyFont="1" applyFill="1" applyBorder="1" applyAlignment="1" applyProtection="1">
      <alignment horizontal="center" vertical="center"/>
      <protection locked="0"/>
    </xf>
    <xf numFmtId="0" fontId="95" fillId="2" borderId="0" xfId="2" applyFont="1" applyFill="1" applyBorder="1" applyAlignment="1" applyProtection="1">
      <alignment horizontal="right" vertical="center" indent="1"/>
    </xf>
    <xf numFmtId="0" fontId="95" fillId="2" borderId="0" xfId="2" applyFont="1" applyFill="1" applyBorder="1" applyAlignment="1" applyProtection="1">
      <alignment horizontal="left" vertical="center" indent="1"/>
    </xf>
    <xf numFmtId="0" fontId="28" fillId="2" borderId="0" xfId="2" applyFont="1" applyFill="1" applyBorder="1" applyAlignment="1" applyProtection="1">
      <alignment horizontal="right" vertical="center" indent="1"/>
    </xf>
    <xf numFmtId="0" fontId="28" fillId="2" borderId="0" xfId="2" applyFont="1" applyFill="1" applyBorder="1" applyAlignment="1" applyProtection="1">
      <alignment horizontal="center" vertical="center"/>
    </xf>
    <xf numFmtId="0" fontId="98" fillId="2" borderId="0" xfId="2" applyFont="1" applyFill="1" applyBorder="1" applyAlignment="1" applyProtection="1">
      <alignment horizontal="center"/>
    </xf>
    <xf numFmtId="0" fontId="28" fillId="2" borderId="67" xfId="2" applyFont="1" applyFill="1" applyBorder="1" applyAlignment="1" applyProtection="1">
      <alignment horizontal="left" vertical="center" indent="1"/>
    </xf>
    <xf numFmtId="0" fontId="110" fillId="2" borderId="0" xfId="0" applyFont="1" applyFill="1" applyAlignment="1" applyProtection="1">
      <alignment vertical="center"/>
    </xf>
    <xf numFmtId="0" fontId="111" fillId="2" borderId="0" xfId="0" applyFont="1" applyFill="1" applyAlignment="1" applyProtection="1">
      <alignment vertical="center"/>
    </xf>
    <xf numFmtId="0" fontId="28" fillId="2" borderId="66" xfId="2" applyFill="1" applyBorder="1" applyAlignment="1" applyProtection="1">
      <alignment horizontal="center" vertical="center"/>
    </xf>
    <xf numFmtId="0" fontId="28" fillId="13" borderId="19" xfId="2" applyFill="1" applyBorder="1" applyAlignment="1" applyProtection="1">
      <alignment horizontal="center" vertical="center"/>
    </xf>
    <xf numFmtId="0" fontId="112" fillId="13" borderId="20" xfId="2" applyFont="1" applyFill="1" applyBorder="1" applyAlignment="1" applyProtection="1">
      <alignment horizontal="center" vertical="center"/>
    </xf>
    <xf numFmtId="0" fontId="113" fillId="2" borderId="0" xfId="2" applyFont="1" applyFill="1" applyProtection="1"/>
    <xf numFmtId="0" fontId="0" fillId="0" borderId="0" xfId="0" applyAlignment="1">
      <alignment horizontal="center"/>
    </xf>
    <xf numFmtId="165" fontId="36" fillId="2" borderId="11" xfId="0" applyNumberFormat="1" applyFont="1" applyFill="1" applyBorder="1" applyAlignment="1" applyProtection="1">
      <alignment horizontal="center"/>
    </xf>
    <xf numFmtId="165" fontId="36" fillId="2" borderId="0" xfId="0" applyNumberFormat="1" applyFont="1" applyFill="1" applyBorder="1" applyAlignment="1" applyProtection="1">
      <alignment horizont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66" xfId="2" applyFill="1" applyBorder="1" applyAlignment="1" applyProtection="1">
      <alignment horizontal="center" vertical="center"/>
    </xf>
    <xf numFmtId="0" fontId="60" fillId="2" borderId="53" xfId="2" applyFont="1" applyFill="1" applyBorder="1" applyAlignment="1" applyProtection="1">
      <alignment horizontal="left" indent="1"/>
    </xf>
    <xf numFmtId="0" fontId="29" fillId="2" borderId="65" xfId="2" applyFont="1" applyFill="1" applyBorder="1" applyAlignment="1" applyProtection="1">
      <alignment horizontal="center" vertical="center"/>
      <protection locked="0"/>
    </xf>
    <xf numFmtId="0" fontId="60" fillId="2" borderId="53" xfId="2" applyFont="1" applyFill="1" applyBorder="1" applyAlignment="1" applyProtection="1">
      <alignment horizontal="right" indent="1"/>
    </xf>
    <xf numFmtId="0" fontId="60" fillId="2" borderId="62" xfId="2" applyFont="1" applyFill="1" applyBorder="1" applyAlignment="1" applyProtection="1">
      <alignment horizontal="left" indent="1"/>
    </xf>
    <xf numFmtId="0" fontId="29" fillId="2" borderId="63" xfId="2" applyFont="1" applyFill="1" applyBorder="1" applyAlignment="1" applyProtection="1">
      <alignment horizontal="center" vertical="center"/>
      <protection locked="0"/>
    </xf>
    <xf numFmtId="0" fontId="60" fillId="2" borderId="62" xfId="2" applyFont="1" applyFill="1" applyBorder="1" applyAlignment="1" applyProtection="1">
      <alignment horizontal="right" indent="1"/>
    </xf>
    <xf numFmtId="0" fontId="60" fillId="2" borderId="63" xfId="2" applyFont="1" applyFill="1" applyBorder="1" applyAlignment="1" applyProtection="1">
      <alignment horizontal="center" vertical="center"/>
      <protection locked="0"/>
    </xf>
    <xf numFmtId="0" fontId="60" fillId="2" borderId="54" xfId="2" applyFont="1" applyFill="1" applyBorder="1" applyAlignment="1" applyProtection="1">
      <alignment horizontal="center"/>
    </xf>
    <xf numFmtId="0" fontId="60" fillId="2" borderId="57" xfId="2" applyFont="1" applyFill="1" applyBorder="1" applyAlignment="1" applyProtection="1">
      <alignment horizontal="left" indent="1"/>
    </xf>
    <xf numFmtId="0" fontId="29" fillId="2" borderId="58" xfId="2" applyFont="1" applyFill="1" applyBorder="1" applyAlignment="1" applyProtection="1">
      <alignment horizontal="center" vertical="center"/>
      <protection locked="0"/>
    </xf>
    <xf numFmtId="0" fontId="60" fillId="2" borderId="57" xfId="2" applyFont="1" applyFill="1" applyBorder="1" applyAlignment="1" applyProtection="1">
      <alignment horizontal="right" indent="1"/>
    </xf>
    <xf numFmtId="0" fontId="82" fillId="2" borderId="0" xfId="2" applyFont="1" applyFill="1" applyBorder="1" applyAlignment="1" applyProtection="1">
      <alignment horizontal="center"/>
    </xf>
    <xf numFmtId="0" fontId="60" fillId="11" borderId="0" xfId="2" applyFont="1" applyFill="1" applyBorder="1" applyAlignment="1" applyProtection="1">
      <alignment horizontal="center" vertical="center"/>
    </xf>
    <xf numFmtId="0" fontId="60" fillId="2" borderId="0" xfId="2" applyFont="1" applyFill="1" applyBorder="1" applyAlignment="1" applyProtection="1">
      <alignment horizontal="left" vertical="center" indent="1"/>
    </xf>
    <xf numFmtId="0" fontId="60" fillId="2" borderId="0" xfId="2" applyFont="1" applyFill="1" applyBorder="1" applyAlignment="1" applyProtection="1">
      <alignment horizontal="right" vertical="center" indent="1"/>
    </xf>
    <xf numFmtId="0" fontId="82" fillId="2" borderId="68" xfId="2" applyFont="1" applyFill="1" applyBorder="1" applyAlignment="1" applyProtection="1">
      <alignment horizontal="center"/>
    </xf>
    <xf numFmtId="0" fontId="60" fillId="11" borderId="68" xfId="2" applyFont="1" applyFill="1" applyBorder="1" applyAlignment="1" applyProtection="1">
      <alignment horizontal="center" vertical="center"/>
    </xf>
    <xf numFmtId="0" fontId="60" fillId="11" borderId="67" xfId="2" applyFont="1" applyFill="1" applyBorder="1" applyAlignment="1" applyProtection="1">
      <alignment horizontal="center" vertical="center"/>
    </xf>
    <xf numFmtId="0" fontId="60" fillId="11" borderId="59" xfId="2" applyFont="1" applyFill="1" applyBorder="1" applyAlignment="1" applyProtection="1">
      <alignment horizontal="center" vertical="center"/>
    </xf>
    <xf numFmtId="0" fontId="60" fillId="2" borderId="53" xfId="2" applyFont="1" applyFill="1" applyBorder="1" applyAlignment="1" applyProtection="1">
      <alignment horizontal="left" vertical="center" indent="1"/>
    </xf>
    <xf numFmtId="0" fontId="60" fillId="2" borderId="53" xfId="2" applyFont="1" applyFill="1" applyBorder="1" applyAlignment="1" applyProtection="1">
      <alignment horizontal="right" vertical="center" indent="1"/>
    </xf>
    <xf numFmtId="0" fontId="60" fillId="2" borderId="62" xfId="2" applyFont="1" applyFill="1" applyBorder="1" applyAlignment="1" applyProtection="1">
      <alignment horizontal="left" vertical="center" indent="1"/>
    </xf>
    <xf numFmtId="0" fontId="60" fillId="2" borderId="62" xfId="2" applyFont="1" applyFill="1" applyBorder="1" applyAlignment="1" applyProtection="1">
      <alignment horizontal="right" vertical="center" indent="1"/>
    </xf>
    <xf numFmtId="0" fontId="60" fillId="2" borderId="57" xfId="2" applyFont="1" applyFill="1" applyBorder="1" applyAlignment="1" applyProtection="1">
      <alignment horizontal="left" vertical="center" indent="1"/>
    </xf>
    <xf numFmtId="0" fontId="60" fillId="2" borderId="57" xfId="2" applyFont="1" applyFill="1" applyBorder="1" applyAlignment="1" applyProtection="1">
      <alignment horizontal="right" vertical="center" indent="1"/>
    </xf>
    <xf numFmtId="0" fontId="12" fillId="4" borderId="51" xfId="2" applyFont="1" applyFill="1" applyBorder="1" applyAlignment="1" applyProtection="1">
      <alignment horizontal="center" vertical="center"/>
    </xf>
    <xf numFmtId="0" fontId="60" fillId="4" borderId="23" xfId="2" applyFont="1" applyFill="1" applyBorder="1" applyAlignment="1" applyProtection="1">
      <alignment horizontal="right" vertical="center" indent="1"/>
    </xf>
    <xf numFmtId="0" fontId="60" fillId="4" borderId="50" xfId="2" applyFont="1" applyFill="1" applyBorder="1" applyAlignment="1" applyProtection="1">
      <alignment horizontal="center" vertical="center"/>
    </xf>
    <xf numFmtId="0" fontId="60" fillId="4" borderId="21" xfId="2" applyFont="1" applyFill="1" applyBorder="1" applyAlignment="1" applyProtection="1">
      <alignment horizontal="right" vertical="center" indent="1"/>
    </xf>
    <xf numFmtId="0" fontId="60" fillId="4" borderId="49" xfId="2" applyFont="1" applyFill="1" applyBorder="1" applyAlignment="1" applyProtection="1">
      <alignment horizontal="center" vertical="center"/>
    </xf>
    <xf numFmtId="0" fontId="60" fillId="4" borderId="22" xfId="2" applyFont="1" applyFill="1" applyBorder="1" applyAlignment="1" applyProtection="1">
      <alignment horizontal="left"/>
    </xf>
    <xf numFmtId="0" fontId="60" fillId="4" borderId="0" xfId="2" applyFont="1" applyFill="1" applyBorder="1" applyAlignment="1" applyProtection="1">
      <alignment horizontal="left" vertical="center"/>
    </xf>
    <xf numFmtId="0" fontId="60" fillId="4" borderId="0" xfId="2" applyFont="1" applyFill="1" applyBorder="1" applyAlignment="1" applyProtection="1">
      <alignment horizontal="center" vertical="center"/>
    </xf>
    <xf numFmtId="0" fontId="60" fillId="4" borderId="0" xfId="2" applyFont="1" applyFill="1" applyBorder="1" applyAlignment="1" applyProtection="1">
      <alignment horizontal="left" vertical="center" indent="1"/>
    </xf>
    <xf numFmtId="0" fontId="29" fillId="4" borderId="0" xfId="2" applyFont="1" applyFill="1" applyBorder="1" applyAlignment="1" applyProtection="1">
      <alignment horizontal="left" vertical="center" indent="1"/>
    </xf>
    <xf numFmtId="0" fontId="60" fillId="4" borderId="48" xfId="2" applyFont="1" applyFill="1" applyBorder="1" applyAlignment="1" applyProtection="1">
      <alignment horizontal="center" vertical="center"/>
    </xf>
    <xf numFmtId="0" fontId="8" fillId="0" borderId="0" xfId="0" quotePrefix="1" applyFont="1" applyFill="1" applyBorder="1" applyAlignment="1" applyProtection="1">
      <alignment horizontal="centerContinuous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66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66" xfId="2" applyFill="1" applyBorder="1" applyAlignment="1" applyProtection="1">
      <alignment horizontal="center" vertical="center"/>
    </xf>
    <xf numFmtId="0" fontId="60" fillId="2" borderId="68" xfId="2" applyFont="1" applyFill="1" applyBorder="1" applyAlignment="1" applyProtection="1">
      <alignment horizontal="left" vertical="center" indent="1"/>
    </xf>
    <xf numFmtId="0" fontId="29" fillId="2" borderId="69" xfId="2" applyFont="1" applyFill="1" applyBorder="1" applyAlignment="1" applyProtection="1">
      <alignment horizontal="center" vertical="center"/>
      <protection locked="0"/>
    </xf>
    <xf numFmtId="0" fontId="82" fillId="2" borderId="69" xfId="2" applyFont="1" applyFill="1" applyBorder="1" applyAlignment="1" applyProtection="1">
      <alignment horizontal="center" vertical="center"/>
      <protection locked="0"/>
    </xf>
    <xf numFmtId="0" fontId="82" fillId="2" borderId="69" xfId="2" applyFont="1" applyFill="1" applyBorder="1" applyAlignment="1" applyProtection="1">
      <alignment horizontal="center" vertical="center"/>
    </xf>
    <xf numFmtId="0" fontId="60" fillId="2" borderId="68" xfId="2" applyFont="1" applyFill="1" applyBorder="1" applyAlignment="1" applyProtection="1">
      <alignment horizontal="right" vertical="center" indent="1"/>
    </xf>
    <xf numFmtId="0" fontId="60" fillId="2" borderId="66" xfId="2" applyFont="1" applyFill="1" applyBorder="1" applyAlignment="1" applyProtection="1">
      <alignment horizontal="left" vertical="center" indent="1"/>
    </xf>
    <xf numFmtId="0" fontId="82" fillId="2" borderId="65" xfId="2" applyFont="1" applyFill="1" applyBorder="1" applyAlignment="1" applyProtection="1">
      <alignment horizontal="center" vertical="center"/>
      <protection locked="0"/>
    </xf>
    <xf numFmtId="0" fontId="82" fillId="2" borderId="65" xfId="2" applyFont="1" applyFill="1" applyBorder="1" applyAlignment="1" applyProtection="1">
      <alignment horizontal="center" vertical="center"/>
    </xf>
    <xf numFmtId="0" fontId="60" fillId="2" borderId="66" xfId="2" applyFont="1" applyFill="1" applyBorder="1" applyAlignment="1" applyProtection="1">
      <alignment horizontal="right" vertical="center" indent="1"/>
    </xf>
    <xf numFmtId="0" fontId="60" fillId="2" borderId="60" xfId="2" applyFont="1" applyFill="1" applyBorder="1" applyAlignment="1" applyProtection="1">
      <alignment horizontal="left" vertical="center" indent="1"/>
    </xf>
    <xf numFmtId="0" fontId="29" fillId="2" borderId="61" xfId="2" applyFont="1" applyFill="1" applyBorder="1" applyAlignment="1" applyProtection="1">
      <alignment horizontal="center" vertical="center"/>
      <protection locked="0"/>
    </xf>
    <xf numFmtId="0" fontId="82" fillId="2" borderId="61" xfId="2" applyFont="1" applyFill="1" applyBorder="1" applyAlignment="1" applyProtection="1">
      <alignment horizontal="center" vertical="center"/>
      <protection locked="0"/>
    </xf>
    <xf numFmtId="0" fontId="82" fillId="2" borderId="61" xfId="2" applyFont="1" applyFill="1" applyBorder="1" applyAlignment="1" applyProtection="1">
      <alignment horizontal="center" vertical="center"/>
    </xf>
    <xf numFmtId="0" fontId="60" fillId="2" borderId="60" xfId="2" applyFont="1" applyFill="1" applyBorder="1" applyAlignment="1" applyProtection="1">
      <alignment horizontal="right" vertical="center" indent="1"/>
    </xf>
    <xf numFmtId="0" fontId="60" fillId="2" borderId="64" xfId="2" applyFont="1" applyFill="1" applyBorder="1" applyAlignment="1" applyProtection="1">
      <alignment horizontal="left" vertical="center" indent="1"/>
    </xf>
    <xf numFmtId="0" fontId="82" fillId="2" borderId="63" xfId="2" applyFont="1" applyFill="1" applyBorder="1" applyAlignment="1" applyProtection="1">
      <alignment horizontal="center" vertical="center"/>
      <protection locked="0"/>
    </xf>
    <xf numFmtId="0" fontId="82" fillId="2" borderId="63" xfId="2" applyFont="1" applyFill="1" applyBorder="1" applyAlignment="1" applyProtection="1">
      <alignment horizontal="center" vertical="center"/>
    </xf>
    <xf numFmtId="0" fontId="60" fillId="2" borderId="64" xfId="2" applyFont="1" applyFill="1" applyBorder="1" applyAlignment="1" applyProtection="1">
      <alignment horizontal="right" vertical="center" indent="1"/>
    </xf>
    <xf numFmtId="0" fontId="28" fillId="2" borderId="110" xfId="2" applyFill="1" applyBorder="1" applyAlignment="1" applyProtection="1">
      <alignment horizontal="centerContinuous" vertical="center"/>
    </xf>
    <xf numFmtId="0" fontId="81" fillId="2" borderId="110" xfId="2" applyFont="1" applyFill="1" applyBorder="1" applyProtection="1"/>
    <xf numFmtId="0" fontId="28" fillId="2" borderId="111" xfId="2" applyFill="1" applyBorder="1" applyAlignment="1" applyProtection="1">
      <alignment horizontal="center" vertical="center"/>
    </xf>
    <xf numFmtId="0" fontId="28" fillId="2" borderId="111" xfId="2" applyFill="1" applyBorder="1" applyProtection="1"/>
    <xf numFmtId="0" fontId="28" fillId="2" borderId="110" xfId="2" applyFill="1" applyBorder="1" applyAlignment="1" applyProtection="1">
      <alignment horizontal="center" vertical="center"/>
    </xf>
    <xf numFmtId="0" fontId="28" fillId="2" borderId="110" xfId="2" applyFont="1" applyFill="1" applyBorder="1" applyAlignment="1" applyProtection="1">
      <alignment horizontal="center" vertical="center"/>
    </xf>
    <xf numFmtId="0" fontId="28" fillId="2" borderId="110" xfId="2" quotePrefix="1" applyFont="1" applyFill="1" applyBorder="1" applyAlignment="1" applyProtection="1">
      <alignment horizontal="center" vertical="center"/>
    </xf>
    <xf numFmtId="0" fontId="60" fillId="2" borderId="110" xfId="2" applyFont="1" applyFill="1" applyBorder="1" applyAlignment="1" applyProtection="1">
      <alignment horizontal="left" indent="1"/>
    </xf>
    <xf numFmtId="0" fontId="29" fillId="2" borderId="112" xfId="2" applyFont="1" applyFill="1" applyBorder="1" applyAlignment="1" applyProtection="1">
      <alignment horizontal="center" vertical="center"/>
      <protection locked="0"/>
    </xf>
    <xf numFmtId="0" fontId="82" fillId="2" borderId="110" xfId="2" applyFont="1" applyFill="1" applyBorder="1" applyAlignment="1" applyProtection="1">
      <alignment horizontal="center"/>
    </xf>
    <xf numFmtId="0" fontId="60" fillId="2" borderId="110" xfId="2" applyFont="1" applyFill="1" applyBorder="1" applyAlignment="1" applyProtection="1">
      <alignment horizontal="right" indent="1"/>
    </xf>
    <xf numFmtId="0" fontId="28" fillId="2" borderId="113" xfId="2" applyFont="1" applyFill="1" applyBorder="1" applyAlignment="1" applyProtection="1">
      <alignment horizontal="center" vertical="center"/>
    </xf>
    <xf numFmtId="0" fontId="28" fillId="2" borderId="113" xfId="2" quotePrefix="1" applyFont="1" applyFill="1" applyBorder="1" applyAlignment="1" applyProtection="1">
      <alignment horizontal="center" vertical="center"/>
    </xf>
    <xf numFmtId="0" fontId="60" fillId="2" borderId="111" xfId="2" applyFont="1" applyFill="1" applyBorder="1" applyAlignment="1" applyProtection="1">
      <alignment horizontal="left" indent="1"/>
    </xf>
    <xf numFmtId="0" fontId="29" fillId="2" borderId="114" xfId="2" applyFont="1" applyFill="1" applyBorder="1" applyAlignment="1" applyProtection="1">
      <alignment horizontal="center" vertical="center"/>
      <protection locked="0"/>
    </xf>
    <xf numFmtId="0" fontId="82" fillId="2" borderId="111" xfId="2" applyFont="1" applyFill="1" applyBorder="1" applyAlignment="1" applyProtection="1">
      <alignment horizontal="center"/>
    </xf>
    <xf numFmtId="0" fontId="60" fillId="2" borderId="111" xfId="2" applyFont="1" applyFill="1" applyBorder="1" applyAlignment="1" applyProtection="1">
      <alignment horizontal="right" indent="1"/>
    </xf>
    <xf numFmtId="0" fontId="28" fillId="2" borderId="110" xfId="2" applyFill="1" applyBorder="1" applyAlignment="1" applyProtection="1">
      <alignment horizontal="center"/>
    </xf>
    <xf numFmtId="0" fontId="28" fillId="2" borderId="110" xfId="2" applyFill="1" applyBorder="1" applyAlignment="1" applyProtection="1">
      <alignment horizontal="centerContinuous" vertical="center" wrapText="1"/>
    </xf>
    <xf numFmtId="0" fontId="81" fillId="2" borderId="110" xfId="2" applyFont="1" applyFill="1" applyBorder="1" applyAlignment="1" applyProtection="1">
      <alignment horizontal="center" vertical="center"/>
    </xf>
    <xf numFmtId="0" fontId="28" fillId="2" borderId="116" xfId="2" applyFont="1" applyFill="1" applyBorder="1" applyAlignment="1" applyProtection="1">
      <alignment horizontal="left" vertical="center" indent="1"/>
    </xf>
    <xf numFmtId="0" fontId="28" fillId="2" borderId="117" xfId="2" applyFill="1" applyBorder="1" applyAlignment="1" applyProtection="1">
      <alignment horizontal="center" vertical="center"/>
    </xf>
    <xf numFmtId="0" fontId="28" fillId="2" borderId="118" xfId="2" applyFont="1" applyFill="1" applyBorder="1" applyAlignment="1" applyProtection="1">
      <alignment horizontal="left" vertical="center" indent="1"/>
    </xf>
    <xf numFmtId="0" fontId="28" fillId="2" borderId="119" xfId="2" applyFont="1" applyFill="1" applyBorder="1" applyAlignment="1" applyProtection="1">
      <alignment horizontal="center" vertical="center"/>
    </xf>
    <xf numFmtId="0" fontId="82" fillId="2" borderId="118" xfId="2" applyFont="1" applyFill="1" applyBorder="1" applyAlignment="1" applyProtection="1">
      <alignment horizontal="center"/>
    </xf>
    <xf numFmtId="0" fontId="28" fillId="2" borderId="118" xfId="2" applyFont="1" applyFill="1" applyBorder="1" applyAlignment="1" applyProtection="1">
      <alignment horizontal="right" vertical="center" indent="1"/>
    </xf>
    <xf numFmtId="0" fontId="60" fillId="11" borderId="118" xfId="2" applyFont="1" applyFill="1" applyBorder="1" applyAlignment="1" applyProtection="1">
      <alignment horizontal="center" vertical="center"/>
    </xf>
    <xf numFmtId="0" fontId="60" fillId="2" borderId="118" xfId="2" applyFont="1" applyFill="1" applyBorder="1" applyAlignment="1" applyProtection="1">
      <alignment horizontal="left" vertical="center" indent="1"/>
    </xf>
    <xf numFmtId="0" fontId="29" fillId="2" borderId="119" xfId="2" applyFont="1" applyFill="1" applyBorder="1" applyAlignment="1" applyProtection="1">
      <alignment horizontal="center" vertical="center"/>
      <protection locked="0"/>
    </xf>
    <xf numFmtId="0" fontId="82" fillId="2" borderId="119" xfId="2" applyFont="1" applyFill="1" applyBorder="1" applyAlignment="1" applyProtection="1">
      <alignment horizontal="center" vertical="center"/>
      <protection locked="0"/>
    </xf>
    <xf numFmtId="0" fontId="82" fillId="2" borderId="119" xfId="2" applyFont="1" applyFill="1" applyBorder="1" applyAlignment="1" applyProtection="1">
      <alignment horizontal="center" vertical="center"/>
    </xf>
    <xf numFmtId="0" fontId="60" fillId="2" borderId="118" xfId="2" applyFont="1" applyFill="1" applyBorder="1" applyAlignment="1" applyProtection="1">
      <alignment horizontal="right" vertical="center" indent="1"/>
    </xf>
    <xf numFmtId="0" fontId="28" fillId="2" borderId="110" xfId="2" applyFill="1" applyBorder="1" applyAlignment="1" applyProtection="1">
      <alignment horizontal="center" vertical="center" wrapText="1"/>
    </xf>
    <xf numFmtId="0" fontId="81" fillId="2" borderId="116" xfId="2" applyFont="1" applyFill="1" applyBorder="1" applyAlignment="1" applyProtection="1">
      <alignment horizontal="center" vertical="center"/>
    </xf>
    <xf numFmtId="0" fontId="28" fillId="2" borderId="118" xfId="2" applyFill="1" applyBorder="1" applyAlignment="1" applyProtection="1">
      <alignment horizontal="center" vertical="center"/>
    </xf>
    <xf numFmtId="0" fontId="28" fillId="2" borderId="115" xfId="2" applyFill="1" applyBorder="1" applyAlignment="1" applyProtection="1">
      <alignment horizontal="center" vertical="center"/>
    </xf>
    <xf numFmtId="0" fontId="28" fillId="2" borderId="110" xfId="2" applyFont="1" applyFill="1" applyBorder="1" applyAlignment="1" applyProtection="1">
      <alignment horizontal="left" vertical="center" indent="1"/>
    </xf>
    <xf numFmtId="0" fontId="28" fillId="2" borderId="112" xfId="2" applyFont="1" applyFill="1" applyBorder="1" applyAlignment="1" applyProtection="1">
      <alignment horizontal="center" vertical="center"/>
    </xf>
    <xf numFmtId="0" fontId="28" fillId="2" borderId="110" xfId="2" applyFont="1" applyFill="1" applyBorder="1" applyAlignment="1" applyProtection="1">
      <alignment horizontal="right" vertical="center" indent="1"/>
    </xf>
    <xf numFmtId="0" fontId="60" fillId="11" borderId="116" xfId="2" applyFont="1" applyFill="1" applyBorder="1" applyAlignment="1" applyProtection="1">
      <alignment horizontal="center" vertical="center"/>
    </xf>
    <xf numFmtId="0" fontId="60" fillId="2" borderId="115" xfId="2" applyFont="1" applyFill="1" applyBorder="1" applyAlignment="1" applyProtection="1">
      <alignment horizontal="left" vertical="center" indent="1"/>
    </xf>
    <xf numFmtId="0" fontId="82" fillId="2" borderId="112" xfId="2" applyFont="1" applyFill="1" applyBorder="1" applyAlignment="1" applyProtection="1">
      <alignment horizontal="center" vertical="center"/>
      <protection locked="0"/>
    </xf>
    <xf numFmtId="0" fontId="82" fillId="2" borderId="112" xfId="2" applyFont="1" applyFill="1" applyBorder="1" applyAlignment="1" applyProtection="1">
      <alignment horizontal="center" vertical="center"/>
    </xf>
    <xf numFmtId="0" fontId="60" fillId="2" borderId="115" xfId="2" applyFont="1" applyFill="1" applyBorder="1" applyAlignment="1" applyProtection="1">
      <alignment horizontal="right" vertical="center" indent="1"/>
    </xf>
    <xf numFmtId="0" fontId="28" fillId="2" borderId="111" xfId="2" applyFont="1" applyFill="1" applyBorder="1" applyAlignment="1" applyProtection="1">
      <alignment horizontal="left" vertical="center" indent="1"/>
    </xf>
    <xf numFmtId="0" fontId="28" fillId="2" borderId="120" xfId="2" applyFont="1" applyFill="1" applyBorder="1" applyAlignment="1" applyProtection="1">
      <alignment horizontal="center" vertical="center"/>
    </xf>
    <xf numFmtId="0" fontId="28" fillId="2" borderId="111" xfId="2" applyFont="1" applyFill="1" applyBorder="1" applyAlignment="1" applyProtection="1">
      <alignment horizontal="right" vertical="center" indent="1"/>
    </xf>
    <xf numFmtId="0" fontId="60" fillId="11" borderId="113" xfId="2" applyFont="1" applyFill="1" applyBorder="1" applyAlignment="1" applyProtection="1">
      <alignment horizontal="center" vertical="center"/>
    </xf>
    <xf numFmtId="0" fontId="60" fillId="2" borderId="117" xfId="2" applyFont="1" applyFill="1" applyBorder="1" applyAlignment="1" applyProtection="1">
      <alignment horizontal="left" vertical="center" indent="1"/>
    </xf>
    <xf numFmtId="0" fontId="29" fillId="2" borderId="120" xfId="2" applyFont="1" applyFill="1" applyBorder="1" applyAlignment="1" applyProtection="1">
      <alignment horizontal="center" vertical="center"/>
      <protection locked="0"/>
    </xf>
    <xf numFmtId="0" fontId="82" fillId="2" borderId="120" xfId="2" applyFont="1" applyFill="1" applyBorder="1" applyAlignment="1" applyProtection="1">
      <alignment horizontal="center" vertical="center"/>
      <protection locked="0"/>
    </xf>
    <xf numFmtId="0" fontId="82" fillId="2" borderId="120" xfId="2" applyFont="1" applyFill="1" applyBorder="1" applyAlignment="1" applyProtection="1">
      <alignment horizontal="center" vertical="center"/>
    </xf>
    <xf numFmtId="0" fontId="60" fillId="2" borderId="117" xfId="2" applyFont="1" applyFill="1" applyBorder="1" applyAlignment="1" applyProtection="1">
      <alignment horizontal="right" vertical="center" indent="1"/>
    </xf>
    <xf numFmtId="0" fontId="60" fillId="2" borderId="110" xfId="2" applyFont="1" applyFill="1" applyBorder="1" applyAlignment="1" applyProtection="1">
      <alignment horizontal="left" vertical="center" indent="1"/>
    </xf>
    <xf numFmtId="0" fontId="60" fillId="2" borderId="110" xfId="2" applyFont="1" applyFill="1" applyBorder="1" applyAlignment="1" applyProtection="1">
      <alignment horizontal="right" vertical="center" indent="1"/>
    </xf>
    <xf numFmtId="0" fontId="60" fillId="2" borderId="111" xfId="2" applyFont="1" applyFill="1" applyBorder="1" applyAlignment="1" applyProtection="1">
      <alignment horizontal="left" vertical="center" indent="1"/>
    </xf>
    <xf numFmtId="0" fontId="60" fillId="2" borderId="111" xfId="2" applyFont="1" applyFill="1" applyBorder="1" applyAlignment="1" applyProtection="1">
      <alignment horizontal="right" vertical="center" indent="1"/>
    </xf>
    <xf numFmtId="0" fontId="12" fillId="4" borderId="121" xfId="2" applyFont="1" applyFill="1" applyBorder="1" applyAlignment="1" applyProtection="1">
      <alignment horizontal="center" vertical="center"/>
    </xf>
    <xf numFmtId="0" fontId="60" fillId="4" borderId="126" xfId="2" applyFont="1" applyFill="1" applyBorder="1" applyAlignment="1" applyProtection="1">
      <alignment horizontal="right" vertical="center" indent="1"/>
    </xf>
    <xf numFmtId="0" fontId="60" fillId="4" borderId="127" xfId="2" applyFont="1" applyFill="1" applyBorder="1" applyAlignment="1" applyProtection="1">
      <alignment horizontal="center" vertical="center"/>
    </xf>
    <xf numFmtId="0" fontId="60" fillId="4" borderId="128" xfId="2" applyFont="1" applyFill="1" applyBorder="1" applyAlignment="1" applyProtection="1">
      <alignment horizontal="right" vertical="center" indent="1"/>
    </xf>
    <xf numFmtId="0" fontId="28" fillId="2" borderId="110" xfId="2" applyFill="1" applyBorder="1" applyAlignment="1" applyProtection="1">
      <alignment horizontal="center" vertical="center" wrapText="1"/>
    </xf>
    <xf numFmtId="0" fontId="28" fillId="2" borderId="110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110" xfId="2" applyFill="1" applyBorder="1" applyAlignment="1" applyProtection="1">
      <alignment horizontal="center" vertical="center"/>
    </xf>
    <xf numFmtId="0" fontId="28" fillId="2" borderId="134" xfId="2" applyFill="1" applyBorder="1" applyAlignment="1" applyProtection="1">
      <alignment horizontal="centerContinuous"/>
    </xf>
    <xf numFmtId="0" fontId="28" fillId="2" borderId="134" xfId="2" applyFill="1" applyBorder="1" applyAlignment="1" applyProtection="1">
      <alignment horizontal="center" vertical="center"/>
    </xf>
    <xf numFmtId="0" fontId="28" fillId="2" borderId="135" xfId="2" applyFill="1" applyBorder="1" applyAlignment="1" applyProtection="1">
      <alignment horizontal="center" vertical="center"/>
    </xf>
    <xf numFmtId="0" fontId="60" fillId="2" borderId="135" xfId="2" applyFont="1" applyFill="1" applyBorder="1" applyAlignment="1" applyProtection="1">
      <alignment horizontal="left" vertical="center" indent="1"/>
    </xf>
    <xf numFmtId="0" fontId="60" fillId="2" borderId="135" xfId="2" applyFont="1" applyFill="1" applyBorder="1" applyAlignment="1" applyProtection="1">
      <alignment horizontal="right" vertical="center" indent="1"/>
    </xf>
    <xf numFmtId="0" fontId="28" fillId="2" borderId="136" xfId="2" applyFill="1" applyBorder="1" applyAlignment="1" applyProtection="1">
      <alignment horizontal="center" vertical="center"/>
    </xf>
    <xf numFmtId="0" fontId="60" fillId="2" borderId="136" xfId="2" applyFont="1" applyFill="1" applyBorder="1" applyAlignment="1" applyProtection="1">
      <alignment horizontal="left" vertical="center" indent="1"/>
    </xf>
    <xf numFmtId="0" fontId="60" fillId="2" borderId="136" xfId="2" applyFont="1" applyFill="1" applyBorder="1" applyAlignment="1" applyProtection="1">
      <alignment horizontal="right" vertical="center" indent="1"/>
    </xf>
    <xf numFmtId="0" fontId="60" fillId="4" borderId="137" xfId="2" applyFont="1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110" xfId="2" applyFill="1" applyBorder="1" applyAlignment="1" applyProtection="1">
      <alignment horizontal="center" vertical="center" wrapText="1"/>
    </xf>
    <xf numFmtId="0" fontId="28" fillId="2" borderId="110" xfId="2" applyFill="1" applyBorder="1" applyAlignment="1" applyProtection="1">
      <alignment horizontal="center" vertical="center"/>
    </xf>
    <xf numFmtId="0" fontId="28" fillId="2" borderId="135" xfId="2" applyFill="1" applyBorder="1" applyAlignment="1" applyProtection="1">
      <alignment horizontal="center" vertical="center"/>
    </xf>
    <xf numFmtId="0" fontId="28" fillId="2" borderId="139" xfId="2" applyFont="1" applyFill="1" applyBorder="1" applyAlignment="1" applyProtection="1">
      <alignment horizontal="left" vertical="center" indent="1"/>
    </xf>
    <xf numFmtId="0" fontId="81" fillId="2" borderId="139" xfId="2" applyFont="1" applyFill="1" applyBorder="1" applyAlignment="1" applyProtection="1">
      <alignment horizontal="center" vertical="center"/>
    </xf>
    <xf numFmtId="0" fontId="28" fillId="2" borderId="138" xfId="2" applyFill="1" applyBorder="1" applyAlignment="1" applyProtection="1">
      <alignment horizontal="center" vertical="center"/>
    </xf>
    <xf numFmtId="0" fontId="60" fillId="11" borderId="139" xfId="2" applyFont="1" applyFill="1" applyBorder="1" applyAlignment="1" applyProtection="1">
      <alignment horizontal="center" vertical="center"/>
    </xf>
    <xf numFmtId="0" fontId="60" fillId="2" borderId="138" xfId="2" applyFont="1" applyFill="1" applyBorder="1" applyAlignment="1" applyProtection="1">
      <alignment horizontal="left" vertical="center" indent="1"/>
    </xf>
    <xf numFmtId="0" fontId="60" fillId="2" borderId="138" xfId="2" applyFont="1" applyFill="1" applyBorder="1" applyAlignment="1" applyProtection="1">
      <alignment horizontal="right" vertical="center" indent="1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138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138" xfId="2" applyFill="1" applyBorder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3" xfId="2" applyFill="1" applyBorder="1" applyAlignment="1" applyProtection="1">
      <alignment horizontal="center" vertical="center"/>
    </xf>
    <xf numFmtId="0" fontId="28" fillId="2" borderId="138" xfId="2" applyFill="1" applyBorder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/>
    </xf>
    <xf numFmtId="0" fontId="7" fillId="2" borderId="0" xfId="1" applyFont="1" applyFill="1" applyAlignment="1" applyProtection="1">
      <alignment horizontal="center"/>
    </xf>
    <xf numFmtId="0" fontId="99" fillId="2" borderId="0" xfId="0" applyFont="1" applyFill="1" applyAlignment="1" applyProtection="1">
      <alignment horizontal="center"/>
    </xf>
    <xf numFmtId="0" fontId="100" fillId="2" borderId="0" xfId="0" applyFont="1" applyFill="1" applyAlignment="1" applyProtection="1">
      <alignment horizontal="center"/>
    </xf>
    <xf numFmtId="0" fontId="101" fillId="2" borderId="0" xfId="0" applyFont="1" applyFill="1" applyAlignment="1" applyProtection="1">
      <alignment horizontal="center"/>
    </xf>
    <xf numFmtId="0" fontId="2" fillId="3" borderId="74" xfId="1" applyFont="1" applyFill="1" applyBorder="1" applyAlignment="1" applyProtection="1">
      <alignment horizontal="center" vertical="center"/>
      <protection locked="0"/>
    </xf>
    <xf numFmtId="0" fontId="2" fillId="3" borderId="75" xfId="1" applyFont="1" applyFill="1" applyBorder="1" applyAlignment="1" applyProtection="1">
      <alignment horizontal="center" vertical="center"/>
      <protection locked="0"/>
    </xf>
    <xf numFmtId="0" fontId="2" fillId="3" borderId="76" xfId="1" applyFont="1" applyFill="1" applyBorder="1" applyAlignment="1" applyProtection="1">
      <alignment horizontal="center" vertical="center"/>
      <protection locked="0"/>
    </xf>
    <xf numFmtId="0" fontId="4" fillId="2" borderId="0" xfId="1" applyFont="1" applyFill="1" applyAlignment="1" applyProtection="1">
      <alignment horizontal="center"/>
    </xf>
    <xf numFmtId="0" fontId="2" fillId="3" borderId="74" xfId="1" applyFont="1" applyFill="1" applyBorder="1" applyAlignment="1" applyProtection="1">
      <alignment horizontal="center" vertical="center"/>
    </xf>
    <xf numFmtId="0" fontId="2" fillId="3" borderId="75" xfId="1" applyFont="1" applyFill="1" applyBorder="1" applyAlignment="1" applyProtection="1">
      <alignment horizontal="center" vertical="center"/>
    </xf>
    <xf numFmtId="0" fontId="2" fillId="3" borderId="76" xfId="1" applyFont="1" applyFill="1" applyBorder="1" applyAlignment="1" applyProtection="1">
      <alignment horizontal="center" vertical="center"/>
    </xf>
    <xf numFmtId="0" fontId="114" fillId="13" borderId="74" xfId="1" applyFont="1" applyFill="1" applyBorder="1" applyAlignment="1" applyProtection="1">
      <alignment horizontal="center" vertical="center"/>
    </xf>
    <xf numFmtId="0" fontId="114" fillId="13" borderId="75" xfId="1" applyFont="1" applyFill="1" applyBorder="1" applyAlignment="1" applyProtection="1">
      <alignment horizontal="center" vertical="center"/>
    </xf>
    <xf numFmtId="0" fontId="114" fillId="13" borderId="76" xfId="1" applyFont="1" applyFill="1" applyBorder="1" applyAlignment="1" applyProtection="1">
      <alignment horizontal="center" vertical="center"/>
    </xf>
    <xf numFmtId="0" fontId="10" fillId="4" borderId="0" xfId="0" applyFont="1" applyFill="1" applyAlignment="1" applyProtection="1">
      <alignment horizontal="center" vertical="center"/>
    </xf>
    <xf numFmtId="0" fontId="12" fillId="5" borderId="13" xfId="0" applyFont="1" applyFill="1" applyBorder="1" applyAlignment="1" applyProtection="1">
      <alignment horizontal="center"/>
    </xf>
    <xf numFmtId="0" fontId="13" fillId="4" borderId="0" xfId="0" applyFont="1" applyFill="1" applyAlignment="1" applyProtection="1">
      <alignment horizontal="center" vertical="center"/>
    </xf>
    <xf numFmtId="0" fontId="15" fillId="4" borderId="0" xfId="0" applyFont="1" applyFill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center"/>
    </xf>
    <xf numFmtId="0" fontId="16" fillId="2" borderId="9" xfId="0" applyFont="1" applyFill="1" applyBorder="1" applyAlignment="1" applyProtection="1">
      <alignment horizontal="center"/>
    </xf>
    <xf numFmtId="0" fontId="23" fillId="2" borderId="6" xfId="0" applyFont="1" applyFill="1" applyBorder="1" applyAlignment="1" applyProtection="1">
      <alignment horizontal="center" vertical="center"/>
    </xf>
    <xf numFmtId="16" fontId="20" fillId="2" borderId="6" xfId="0" applyNumberFormat="1" applyFont="1" applyFill="1" applyBorder="1" applyAlignment="1" applyProtection="1">
      <alignment horizontal="center" vertical="center"/>
    </xf>
    <xf numFmtId="20" fontId="20" fillId="2" borderId="6" xfId="0" applyNumberFormat="1" applyFont="1" applyFill="1" applyBorder="1" applyAlignment="1" applyProtection="1">
      <alignment horizontal="center" vertical="center"/>
    </xf>
    <xf numFmtId="20" fontId="21" fillId="2" borderId="6" xfId="0" applyNumberFormat="1" applyFont="1" applyFill="1" applyBorder="1" applyAlignment="1" applyProtection="1">
      <alignment horizontal="center" vertical="center"/>
    </xf>
    <xf numFmtId="0" fontId="29" fillId="5" borderId="5" xfId="0" applyFont="1" applyFill="1" applyBorder="1" applyAlignment="1" applyProtection="1">
      <alignment horizontal="center" vertical="center"/>
    </xf>
    <xf numFmtId="0" fontId="29" fillId="5" borderId="3" xfId="0" applyFont="1" applyFill="1" applyBorder="1" applyAlignment="1" applyProtection="1">
      <alignment horizontal="center" vertical="center"/>
    </xf>
    <xf numFmtId="0" fontId="40" fillId="4" borderId="0" xfId="0" applyFont="1" applyFill="1" applyAlignment="1" applyProtection="1">
      <alignment horizontal="center"/>
    </xf>
    <xf numFmtId="0" fontId="42" fillId="4" borderId="0" xfId="0" applyFont="1" applyFill="1" applyAlignment="1" applyProtection="1">
      <alignment horizontal="center"/>
    </xf>
    <xf numFmtId="0" fontId="29" fillId="5" borderId="13" xfId="0" applyFont="1" applyFill="1" applyBorder="1" applyAlignment="1" applyProtection="1">
      <alignment horizontal="center"/>
    </xf>
    <xf numFmtId="0" fontId="21" fillId="5" borderId="13" xfId="0" applyFont="1" applyFill="1" applyBorder="1" applyAlignment="1" applyProtection="1">
      <alignment horizontal="left"/>
    </xf>
    <xf numFmtId="0" fontId="109" fillId="2" borderId="0" xfId="1" applyFont="1" applyFill="1" applyAlignment="1" applyProtection="1">
      <alignment horizontal="center" vertical="center"/>
    </xf>
    <xf numFmtId="0" fontId="70" fillId="2" borderId="0" xfId="0" applyFont="1" applyFill="1" applyBorder="1" applyAlignment="1" applyProtection="1">
      <alignment horizontal="center" vertical="center"/>
    </xf>
    <xf numFmtId="0" fontId="29" fillId="5" borderId="13" xfId="0" applyFont="1" applyFill="1" applyBorder="1" applyAlignment="1" applyProtection="1">
      <alignment horizontal="center" vertical="center"/>
    </xf>
    <xf numFmtId="0" fontId="21" fillId="5" borderId="13" xfId="0" applyFont="1" applyFill="1" applyBorder="1" applyAlignment="1" applyProtection="1">
      <alignment horizontal="left" vertical="center"/>
    </xf>
    <xf numFmtId="0" fontId="60" fillId="5" borderId="13" xfId="0" applyFont="1" applyFill="1" applyBorder="1" applyAlignment="1" applyProtection="1">
      <alignment horizontal="center"/>
    </xf>
    <xf numFmtId="0" fontId="32" fillId="5" borderId="13" xfId="0" applyFont="1" applyFill="1" applyBorder="1" applyAlignment="1" applyProtection="1">
      <alignment horizontal="left"/>
    </xf>
    <xf numFmtId="0" fontId="69" fillId="4" borderId="77" xfId="0" applyFont="1" applyFill="1" applyBorder="1" applyAlignment="1" applyProtection="1">
      <alignment horizontal="center" vertical="center"/>
    </xf>
    <xf numFmtId="0" fontId="69" fillId="4" borderId="78" xfId="0" applyFont="1" applyFill="1" applyBorder="1" applyAlignment="1" applyProtection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84" fillId="0" borderId="84" xfId="0" applyFont="1" applyBorder="1" applyAlignment="1" applyProtection="1">
      <alignment horizontal="left" vertical="center"/>
    </xf>
    <xf numFmtId="0" fontId="84" fillId="0" borderId="85" xfId="0" applyFont="1" applyBorder="1" applyAlignment="1" applyProtection="1">
      <alignment horizontal="left" vertical="center"/>
    </xf>
    <xf numFmtId="0" fontId="0" fillId="0" borderId="84" xfId="0" applyBorder="1" applyAlignment="1" applyProtection="1">
      <alignment horizontal="center" vertical="center"/>
    </xf>
    <xf numFmtId="0" fontId="0" fillId="0" borderId="85" xfId="0" applyBorder="1" applyAlignment="1" applyProtection="1">
      <alignment horizontal="center" vertical="center"/>
    </xf>
    <xf numFmtId="0" fontId="84" fillId="0" borderId="84" xfId="0" applyFont="1" applyBorder="1" applyAlignment="1" applyProtection="1">
      <alignment horizontal="right" vertical="center"/>
    </xf>
    <xf numFmtId="0" fontId="84" fillId="0" borderId="85" xfId="0" applyFont="1" applyBorder="1" applyAlignment="1" applyProtection="1">
      <alignment horizontal="right" vertical="center"/>
    </xf>
    <xf numFmtId="0" fontId="28" fillId="0" borderId="84" xfId="0" applyFont="1" applyBorder="1" applyAlignment="1" applyProtection="1">
      <alignment horizontal="center" vertical="center"/>
    </xf>
    <xf numFmtId="0" fontId="28" fillId="0" borderId="85" xfId="0" applyFont="1" applyBorder="1" applyAlignment="1" applyProtection="1">
      <alignment horizontal="center" vertical="center"/>
    </xf>
    <xf numFmtId="0" fontId="85" fillId="0" borderId="0" xfId="0" applyFont="1" applyBorder="1" applyAlignment="1">
      <alignment horizontal="center" vertical="center"/>
    </xf>
    <xf numFmtId="0" fontId="103" fillId="0" borderId="0" xfId="0" applyFont="1" applyBorder="1" applyAlignment="1">
      <alignment horizontal="center" vertical="center"/>
    </xf>
    <xf numFmtId="0" fontId="28" fillId="0" borderId="82" xfId="0" applyFont="1" applyBorder="1" applyAlignment="1" applyProtection="1">
      <alignment horizontal="center" vertical="center"/>
    </xf>
    <xf numFmtId="0" fontId="28" fillId="0" borderId="83" xfId="0" applyFont="1" applyBorder="1" applyAlignment="1" applyProtection="1">
      <alignment horizontal="center" vertical="center"/>
    </xf>
    <xf numFmtId="0" fontId="84" fillId="0" borderId="82" xfId="0" applyFont="1" applyBorder="1" applyAlignment="1" applyProtection="1">
      <alignment horizontal="right" vertical="center"/>
    </xf>
    <xf numFmtId="0" fontId="84" fillId="0" borderId="83" xfId="0" applyFont="1" applyBorder="1" applyAlignment="1" applyProtection="1">
      <alignment horizontal="right" vertical="center"/>
    </xf>
    <xf numFmtId="0" fontId="4" fillId="0" borderId="79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81" xfId="0" applyFont="1" applyBorder="1" applyAlignment="1">
      <alignment horizontal="left" vertical="center"/>
    </xf>
    <xf numFmtId="0" fontId="84" fillId="0" borderId="82" xfId="0" applyFont="1" applyBorder="1" applyAlignment="1" applyProtection="1">
      <alignment horizontal="center" vertical="center"/>
    </xf>
    <xf numFmtId="0" fontId="84" fillId="0" borderId="83" xfId="0" applyFont="1" applyBorder="1" applyAlignment="1" applyProtection="1">
      <alignment horizontal="center" vertical="center"/>
    </xf>
    <xf numFmtId="0" fontId="4" fillId="0" borderId="86" xfId="0" applyFont="1" applyBorder="1" applyAlignment="1">
      <alignment horizontal="left" vertical="center"/>
    </xf>
    <xf numFmtId="0" fontId="4" fillId="0" borderId="11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4" fillId="0" borderId="89" xfId="0" applyFont="1" applyBorder="1" applyAlignment="1">
      <alignment horizontal="left" vertical="center"/>
    </xf>
    <xf numFmtId="0" fontId="4" fillId="0" borderId="90" xfId="0" applyFont="1" applyBorder="1" applyAlignment="1">
      <alignment horizontal="left" vertical="center"/>
    </xf>
    <xf numFmtId="0" fontId="81" fillId="0" borderId="0" xfId="0" applyFont="1" applyAlignment="1">
      <alignment horizontal="center" vertical="center"/>
    </xf>
    <xf numFmtId="0" fontId="102" fillId="0" borderId="0" xfId="0" applyFont="1" applyBorder="1" applyAlignment="1">
      <alignment horizontal="center" vertical="center"/>
    </xf>
    <xf numFmtId="0" fontId="78" fillId="2" borderId="0" xfId="2" applyFont="1" applyFill="1" applyAlignment="1" applyProtection="1">
      <alignment horizontal="left" indent="1"/>
    </xf>
    <xf numFmtId="0" fontId="28" fillId="2" borderId="53" xfId="2" applyFill="1" applyBorder="1" applyAlignment="1" applyProtection="1">
      <alignment horizontal="center" vertical="center"/>
    </xf>
    <xf numFmtId="0" fontId="107" fillId="2" borderId="0" xfId="2" applyFont="1" applyFill="1" applyAlignment="1" applyProtection="1">
      <alignment horizontal="center" vertical="center"/>
    </xf>
    <xf numFmtId="0" fontId="28" fillId="2" borderId="53" xfId="2" applyFill="1" applyBorder="1" applyAlignment="1" applyProtection="1">
      <alignment horizontal="center" vertical="center" wrapText="1"/>
    </xf>
    <xf numFmtId="0" fontId="28" fillId="2" borderId="59" xfId="2" applyFill="1" applyBorder="1" applyAlignment="1" applyProtection="1">
      <alignment horizontal="center" vertical="center"/>
    </xf>
    <xf numFmtId="0" fontId="28" fillId="2" borderId="66" xfId="2" applyFill="1" applyBorder="1" applyAlignment="1" applyProtection="1">
      <alignment horizontal="center" vertical="center"/>
    </xf>
    <xf numFmtId="0" fontId="80" fillId="2" borderId="0" xfId="2" applyFont="1" applyFill="1" applyAlignment="1" applyProtection="1">
      <alignment horizontal="left" indent="1"/>
    </xf>
    <xf numFmtId="0" fontId="28" fillId="2" borderId="52" xfId="2" applyFill="1" applyBorder="1" applyAlignment="1" applyProtection="1">
      <alignment horizontal="center"/>
    </xf>
    <xf numFmtId="0" fontId="78" fillId="2" borderId="67" xfId="2" applyFont="1" applyFill="1" applyBorder="1" applyAlignment="1" applyProtection="1">
      <alignment horizontal="left" indent="1"/>
    </xf>
    <xf numFmtId="0" fontId="96" fillId="4" borderId="100" xfId="2" applyFont="1" applyFill="1" applyBorder="1" applyAlignment="1" applyProtection="1">
      <alignment horizontal="center" vertical="center"/>
    </xf>
    <xf numFmtId="0" fontId="104" fillId="5" borderId="13" xfId="0" applyFont="1" applyFill="1" applyBorder="1" applyAlignment="1" applyProtection="1">
      <alignment horizontal="left"/>
    </xf>
    <xf numFmtId="0" fontId="105" fillId="5" borderId="13" xfId="0" applyFont="1" applyFill="1" applyBorder="1" applyAlignment="1" applyProtection="1">
      <alignment horizontal="left"/>
    </xf>
    <xf numFmtId="0" fontId="106" fillId="4" borderId="101" xfId="2" applyFont="1" applyFill="1" applyBorder="1" applyAlignment="1" applyProtection="1">
      <alignment horizontal="center" vertical="center"/>
    </xf>
    <xf numFmtId="0" fontId="106" fillId="4" borderId="102" xfId="2" applyFont="1" applyFill="1" applyBorder="1" applyAlignment="1" applyProtection="1">
      <alignment horizontal="center" vertical="center"/>
    </xf>
    <xf numFmtId="0" fontId="106" fillId="4" borderId="103" xfId="2" applyFont="1" applyFill="1" applyBorder="1" applyAlignment="1" applyProtection="1">
      <alignment horizontal="center" vertical="center"/>
    </xf>
    <xf numFmtId="0" fontId="106" fillId="4" borderId="0" xfId="2" applyFont="1" applyFill="1" applyBorder="1" applyAlignment="1" applyProtection="1">
      <alignment horizontal="center" vertical="center"/>
    </xf>
    <xf numFmtId="0" fontId="106" fillId="4" borderId="104" xfId="2" applyFont="1" applyFill="1" applyBorder="1" applyAlignment="1" applyProtection="1">
      <alignment horizontal="center" vertical="center"/>
    </xf>
    <xf numFmtId="0" fontId="106" fillId="4" borderId="105" xfId="2" applyFont="1" applyFill="1" applyBorder="1" applyAlignment="1" applyProtection="1">
      <alignment horizontal="center" vertical="center"/>
    </xf>
    <xf numFmtId="0" fontId="95" fillId="4" borderId="64" xfId="2" applyFont="1" applyFill="1" applyBorder="1" applyAlignment="1" applyProtection="1">
      <alignment horizontal="left" vertical="center" indent="1"/>
    </xf>
    <xf numFmtId="0" fontId="97" fillId="4" borderId="98" xfId="2" applyFont="1" applyFill="1" applyBorder="1" applyAlignment="1" applyProtection="1">
      <alignment horizontal="left" vertical="center" indent="1"/>
      <protection locked="0"/>
    </xf>
    <xf numFmtId="0" fontId="97" fillId="4" borderId="99" xfId="2" applyFont="1" applyFill="1" applyBorder="1" applyAlignment="1" applyProtection="1">
      <alignment horizontal="left" vertical="center" indent="1"/>
      <protection locked="0"/>
    </xf>
    <xf numFmtId="0" fontId="97" fillId="4" borderId="24" xfId="2" applyFont="1" applyFill="1" applyBorder="1" applyAlignment="1" applyProtection="1">
      <alignment horizontal="left" vertical="center" indent="1"/>
      <protection locked="0"/>
    </xf>
    <xf numFmtId="0" fontId="4" fillId="2" borderId="0" xfId="1" applyFont="1" applyFill="1" applyAlignment="1" applyProtection="1">
      <alignment horizontal="left" vertical="center"/>
    </xf>
    <xf numFmtId="0" fontId="97" fillId="4" borderId="91" xfId="2" applyFont="1" applyFill="1" applyBorder="1" applyAlignment="1" applyProtection="1">
      <alignment horizontal="left" vertical="center" indent="1"/>
      <protection locked="0"/>
    </xf>
    <xf numFmtId="0" fontId="97" fillId="4" borderId="0" xfId="2" applyFont="1" applyFill="1" applyBorder="1" applyAlignment="1" applyProtection="1">
      <alignment horizontal="left" vertical="center" indent="1"/>
      <protection locked="0"/>
    </xf>
    <xf numFmtId="0" fontId="97" fillId="4" borderId="22" xfId="2" applyFont="1" applyFill="1" applyBorder="1" applyAlignment="1" applyProtection="1">
      <alignment horizontal="left" vertical="center" indent="1"/>
      <protection locked="0"/>
    </xf>
    <xf numFmtId="0" fontId="95" fillId="4" borderId="92" xfId="2" applyFont="1" applyFill="1" applyBorder="1" applyAlignment="1" applyProtection="1">
      <alignment horizontal="left" vertical="center" indent="1"/>
    </xf>
    <xf numFmtId="0" fontId="106" fillId="4" borderId="93" xfId="2" applyFont="1" applyFill="1" applyBorder="1" applyAlignment="1" applyProtection="1">
      <alignment horizontal="center" vertical="center"/>
    </xf>
    <xf numFmtId="0" fontId="106" fillId="4" borderId="94" xfId="2" applyFont="1" applyFill="1" applyBorder="1" applyAlignment="1" applyProtection="1">
      <alignment horizontal="center" vertical="center"/>
    </xf>
    <xf numFmtId="0" fontId="106" fillId="4" borderId="95" xfId="2" applyFont="1" applyFill="1" applyBorder="1" applyAlignment="1" applyProtection="1">
      <alignment horizontal="center" vertical="center"/>
    </xf>
    <xf numFmtId="0" fontId="106" fillId="4" borderId="96" xfId="2" applyFont="1" applyFill="1" applyBorder="1" applyAlignment="1" applyProtection="1">
      <alignment horizontal="center" vertical="center"/>
    </xf>
    <xf numFmtId="0" fontId="106" fillId="4" borderId="67" xfId="2" applyFont="1" applyFill="1" applyBorder="1" applyAlignment="1" applyProtection="1">
      <alignment horizontal="center" vertical="center"/>
    </xf>
    <xf numFmtId="0" fontId="106" fillId="4" borderId="97" xfId="2" applyFont="1" applyFill="1" applyBorder="1" applyAlignment="1" applyProtection="1">
      <alignment horizontal="center" vertical="center"/>
    </xf>
    <xf numFmtId="0" fontId="12" fillId="4" borderId="91" xfId="2" applyFont="1" applyFill="1" applyBorder="1" applyAlignment="1" applyProtection="1">
      <alignment horizontal="left" vertical="center" indent="1"/>
      <protection locked="0"/>
    </xf>
    <xf numFmtId="0" fontId="96" fillId="4" borderId="91" xfId="2" applyFont="1" applyFill="1" applyBorder="1" applyAlignment="1" applyProtection="1">
      <alignment horizontal="center" vertical="center"/>
      <protection locked="0"/>
    </xf>
    <xf numFmtId="0" fontId="96" fillId="4" borderId="0" xfId="2" applyFont="1" applyFill="1" applyBorder="1" applyAlignment="1" applyProtection="1">
      <alignment horizontal="center" vertical="center"/>
      <protection locked="0"/>
    </xf>
    <xf numFmtId="0" fontId="71" fillId="12" borderId="106" xfId="2" applyFont="1" applyFill="1" applyBorder="1" applyAlignment="1" applyProtection="1">
      <alignment horizontal="center"/>
    </xf>
    <xf numFmtId="0" fontId="71" fillId="12" borderId="107" xfId="2" applyFont="1" applyFill="1" applyBorder="1" applyAlignment="1" applyProtection="1">
      <alignment horizontal="center"/>
    </xf>
    <xf numFmtId="0" fontId="71" fillId="12" borderId="108" xfId="2" applyFont="1" applyFill="1" applyBorder="1" applyAlignment="1" applyProtection="1">
      <alignment horizontal="center"/>
    </xf>
    <xf numFmtId="0" fontId="72" fillId="14" borderId="19" xfId="2" applyFont="1" applyFill="1" applyBorder="1" applyAlignment="1" applyProtection="1">
      <alignment horizontal="center" vertical="center"/>
    </xf>
    <xf numFmtId="0" fontId="72" fillId="14" borderId="109" xfId="2" applyFont="1" applyFill="1" applyBorder="1" applyAlignment="1" applyProtection="1">
      <alignment horizontal="center" vertical="center"/>
    </xf>
    <xf numFmtId="0" fontId="72" fillId="14" borderId="20" xfId="2" applyFont="1" applyFill="1" applyBorder="1" applyAlignment="1" applyProtection="1">
      <alignment horizontal="center" vertical="center"/>
    </xf>
    <xf numFmtId="0" fontId="4" fillId="2" borderId="0" xfId="1" applyFont="1" applyFill="1" applyAlignment="1" applyProtection="1">
      <alignment horizontal="center" vertical="center"/>
    </xf>
    <xf numFmtId="0" fontId="76" fillId="8" borderId="47" xfId="1" applyFont="1" applyFill="1" applyBorder="1" applyAlignment="1" applyProtection="1">
      <alignment horizontal="center" vertical="center"/>
      <protection hidden="1"/>
    </xf>
    <xf numFmtId="0" fontId="76" fillId="2" borderId="0" xfId="2" applyFont="1" applyFill="1" applyAlignment="1" applyProtection="1">
      <alignment horizontal="center" vertical="center"/>
    </xf>
    <xf numFmtId="0" fontId="60" fillId="4" borderId="64" xfId="2" applyFont="1" applyFill="1" applyBorder="1" applyAlignment="1" applyProtection="1">
      <alignment horizontal="left" vertical="center" indent="1"/>
    </xf>
    <xf numFmtId="0" fontId="12" fillId="4" borderId="98" xfId="2" applyFont="1" applyFill="1" applyBorder="1" applyAlignment="1" applyProtection="1">
      <alignment horizontal="left" vertical="center" indent="1"/>
      <protection locked="0"/>
    </xf>
    <xf numFmtId="0" fontId="12" fillId="4" borderId="99" xfId="2" applyFont="1" applyFill="1" applyBorder="1" applyAlignment="1" applyProtection="1">
      <alignment horizontal="left" vertical="center" indent="1"/>
      <protection locked="0"/>
    </xf>
    <xf numFmtId="0" fontId="12" fillId="4" borderId="24" xfId="2" applyFont="1" applyFill="1" applyBorder="1" applyAlignment="1" applyProtection="1">
      <alignment horizontal="left" vertical="center" indent="1"/>
      <protection locked="0"/>
    </xf>
    <xf numFmtId="0" fontId="29" fillId="4" borderId="100" xfId="2" applyFont="1" applyFill="1" applyBorder="1" applyAlignment="1" applyProtection="1">
      <alignment horizontal="center" vertical="center"/>
    </xf>
    <xf numFmtId="0" fontId="60" fillId="4" borderId="92" xfId="2" applyFont="1" applyFill="1" applyBorder="1" applyAlignment="1" applyProtection="1">
      <alignment horizontal="left" vertical="center" indent="1"/>
    </xf>
    <xf numFmtId="0" fontId="12" fillId="4" borderId="0" xfId="2" applyFont="1" applyFill="1" applyBorder="1" applyAlignment="1" applyProtection="1">
      <alignment horizontal="left" vertical="center" indent="1"/>
      <protection locked="0"/>
    </xf>
    <xf numFmtId="0" fontId="12" fillId="4" borderId="22" xfId="2" applyFont="1" applyFill="1" applyBorder="1" applyAlignment="1" applyProtection="1">
      <alignment horizontal="left" vertical="center" indent="1"/>
      <protection locked="0"/>
    </xf>
    <xf numFmtId="0" fontId="29" fillId="4" borderId="91" xfId="2" applyFont="1" applyFill="1" applyBorder="1" applyAlignment="1" applyProtection="1">
      <alignment horizontal="center" vertical="center"/>
      <protection locked="0"/>
    </xf>
    <xf numFmtId="0" fontId="29" fillId="4" borderId="0" xfId="2" applyFont="1" applyFill="1" applyBorder="1" applyAlignment="1" applyProtection="1">
      <alignment horizontal="center" vertical="center"/>
      <protection locked="0"/>
    </xf>
    <xf numFmtId="0" fontId="12" fillId="4" borderId="125" xfId="2" applyFont="1" applyFill="1" applyBorder="1" applyAlignment="1" applyProtection="1">
      <alignment horizontal="left" vertical="center" indent="1"/>
      <protection locked="0"/>
    </xf>
    <xf numFmtId="0" fontId="12" fillId="4" borderId="124" xfId="2" applyFont="1" applyFill="1" applyBorder="1" applyAlignment="1" applyProtection="1">
      <alignment horizontal="left" vertical="center" indent="1"/>
      <protection locked="0"/>
    </xf>
    <xf numFmtId="0" fontId="12" fillId="4" borderId="123" xfId="2" applyFont="1" applyFill="1" applyBorder="1" applyAlignment="1" applyProtection="1">
      <alignment horizontal="left" vertical="center" indent="1"/>
      <protection locked="0"/>
    </xf>
    <xf numFmtId="0" fontId="106" fillId="4" borderId="133" xfId="2" applyFont="1" applyFill="1" applyBorder="1" applyAlignment="1" applyProtection="1">
      <alignment horizontal="center" vertical="center"/>
    </xf>
    <xf numFmtId="0" fontId="106" fillId="4" borderId="132" xfId="2" applyFont="1" applyFill="1" applyBorder="1" applyAlignment="1" applyProtection="1">
      <alignment horizontal="center" vertical="center"/>
    </xf>
    <xf numFmtId="0" fontId="106" fillId="4" borderId="131" xfId="2" applyFont="1" applyFill="1" applyBorder="1" applyAlignment="1" applyProtection="1">
      <alignment horizontal="center" vertical="center"/>
    </xf>
    <xf numFmtId="0" fontId="106" fillId="4" borderId="130" xfId="2" applyFont="1" applyFill="1" applyBorder="1" applyAlignment="1" applyProtection="1">
      <alignment horizontal="center" vertical="center"/>
    </xf>
    <xf numFmtId="0" fontId="106" fillId="4" borderId="116" xfId="2" applyFont="1" applyFill="1" applyBorder="1" applyAlignment="1" applyProtection="1">
      <alignment horizontal="center" vertical="center"/>
    </xf>
    <xf numFmtId="0" fontId="106" fillId="4" borderId="129" xfId="2" applyFont="1" applyFill="1" applyBorder="1" applyAlignment="1" applyProtection="1">
      <alignment horizontal="center" vertical="center"/>
    </xf>
    <xf numFmtId="0" fontId="29" fillId="4" borderId="122" xfId="2" applyFont="1" applyFill="1" applyBorder="1" applyAlignment="1" applyProtection="1">
      <alignment horizontal="center" vertical="center"/>
    </xf>
    <xf numFmtId="0" fontId="78" fillId="2" borderId="116" xfId="2" applyFont="1" applyFill="1" applyBorder="1" applyAlignment="1" applyProtection="1">
      <alignment horizontal="left" indent="1"/>
    </xf>
    <xf numFmtId="0" fontId="28" fillId="2" borderId="110" xfId="2" applyFill="1" applyBorder="1" applyAlignment="1" applyProtection="1">
      <alignment horizontal="center" vertical="center" wrapText="1"/>
    </xf>
    <xf numFmtId="0" fontId="28" fillId="2" borderId="110" xfId="2" applyFill="1" applyBorder="1" applyAlignment="1" applyProtection="1">
      <alignment horizontal="center" vertical="center"/>
    </xf>
    <xf numFmtId="0" fontId="28" fillId="2" borderId="113" xfId="2" applyFill="1" applyBorder="1" applyAlignment="1" applyProtection="1">
      <alignment horizontal="center" vertical="center"/>
    </xf>
    <xf numFmtId="0" fontId="28" fillId="2" borderId="115" xfId="2" applyFill="1" applyBorder="1" applyAlignment="1" applyProtection="1">
      <alignment horizontal="center" vertical="center"/>
    </xf>
    <xf numFmtId="0" fontId="60" fillId="4" borderId="136" xfId="2" applyFont="1" applyFill="1" applyBorder="1" applyAlignment="1" applyProtection="1">
      <alignment horizontal="left" vertical="center" indent="1"/>
    </xf>
    <xf numFmtId="0" fontId="28" fillId="2" borderId="134" xfId="2" applyFill="1" applyBorder="1" applyAlignment="1" applyProtection="1">
      <alignment horizontal="center"/>
    </xf>
    <xf numFmtId="0" fontId="28" fillId="2" borderId="135" xfId="2" applyFill="1" applyBorder="1" applyAlignment="1" applyProtection="1">
      <alignment horizontal="center" vertical="center"/>
    </xf>
    <xf numFmtId="0" fontId="106" fillId="4" borderId="140" xfId="2" applyFont="1" applyFill="1" applyBorder="1" applyAlignment="1" applyProtection="1">
      <alignment horizontal="center" vertical="center"/>
    </xf>
    <xf numFmtId="0" fontId="78" fillId="2" borderId="139" xfId="2" applyFont="1" applyFill="1" applyBorder="1" applyAlignment="1" applyProtection="1">
      <alignment horizontal="left" indent="1"/>
    </xf>
    <xf numFmtId="0" fontId="28" fillId="2" borderId="138" xfId="2" applyFill="1" applyBorder="1" applyAlignment="1" applyProtection="1">
      <alignment horizontal="center" vertical="center"/>
    </xf>
    <xf numFmtId="0" fontId="106" fillId="4" borderId="139" xfId="2" applyFont="1" applyFill="1" applyBorder="1" applyAlignment="1" applyProtection="1">
      <alignment horizontal="center" vertical="center"/>
    </xf>
    <xf numFmtId="0" fontId="106" fillId="4" borderId="141" xfId="2" applyFont="1" applyFill="1" applyBorder="1" applyAlignment="1" applyProtection="1">
      <alignment horizontal="center" vertical="center"/>
    </xf>
    <xf numFmtId="0" fontId="1" fillId="4" borderId="91" xfId="1" applyFill="1" applyBorder="1" applyAlignment="1" applyProtection="1">
      <alignment horizontal="left" vertical="center" indent="1"/>
      <protection locked="0"/>
    </xf>
  </cellXfs>
  <cellStyles count="4">
    <cellStyle name="Hyperlink" xfId="1" builtinId="8"/>
    <cellStyle name="Normal" xfId="0" builtinId="0"/>
    <cellStyle name="Normal 2" xfId="2"/>
    <cellStyle name="Normal 3" xfId="3"/>
  </cellStyles>
  <dxfs count="302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theme="9" tint="-0.24994659260841701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indexed="52"/>
        </patternFill>
      </fill>
    </dxf>
    <dxf>
      <fill>
        <patternFill>
          <bgColor indexed="47"/>
        </patternFill>
      </fill>
      <border>
        <left style="thin">
          <color indexed="60"/>
        </left>
        <right style="thin">
          <color indexed="60"/>
        </right>
        <top style="thin">
          <color indexed="60"/>
        </top>
        <bottom style="thin">
          <color indexed="60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ont>
        <b/>
        <i val="0"/>
      </font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ont>
        <b/>
        <i val="0"/>
      </font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fill>
        <patternFill>
          <bgColor indexed="47"/>
        </patternFill>
      </fill>
      <border>
        <left style="thin">
          <color indexed="52"/>
        </left>
        <right style="thin">
          <color indexed="52"/>
        </right>
        <top style="thin">
          <color indexed="52"/>
        </top>
        <bottom style="thin">
          <color indexed="52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</border>
    </dxf>
    <dxf>
      <font>
        <b/>
        <i val="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  <dxf>
      <font>
        <b/>
        <i val="0"/>
        <color theme="9" tint="-0.499984740745262"/>
      </font>
    </dxf>
    <dxf>
      <font>
        <b/>
        <i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60"/>
      </font>
    </dxf>
  </dxfs>
  <tableStyles count="0" defaultTableStyle="TableStyleMedium9" defaultPivotStyle="PivotStyleLight16"/>
  <colors>
    <mruColors>
      <color rgb="FFFFFF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4.xml"/><Relationship Id="rId63" Type="http://schemas.openxmlformats.org/officeDocument/2006/relationships/externalLink" Target="externalLinks/externalLink12.xml"/><Relationship Id="rId68" Type="http://schemas.openxmlformats.org/officeDocument/2006/relationships/externalLink" Target="externalLinks/externalLink17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0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2.xml"/><Relationship Id="rId58" Type="http://schemas.openxmlformats.org/officeDocument/2006/relationships/externalLink" Target="externalLinks/externalLink7.xml"/><Relationship Id="rId66" Type="http://schemas.openxmlformats.org/officeDocument/2006/relationships/externalLink" Target="externalLinks/externalLink15.xml"/><Relationship Id="rId74" Type="http://schemas.openxmlformats.org/officeDocument/2006/relationships/externalLink" Target="externalLinks/externalLink23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1.xml"/><Relationship Id="rId60" Type="http://schemas.openxmlformats.org/officeDocument/2006/relationships/externalLink" Target="externalLinks/externalLink9.xml"/><Relationship Id="rId65" Type="http://schemas.openxmlformats.org/officeDocument/2006/relationships/externalLink" Target="externalLinks/externalLink14.xml"/><Relationship Id="rId73" Type="http://schemas.openxmlformats.org/officeDocument/2006/relationships/externalLink" Target="externalLinks/externalLink22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5.xml"/><Relationship Id="rId64" Type="http://schemas.openxmlformats.org/officeDocument/2006/relationships/externalLink" Target="externalLinks/externalLink13.xml"/><Relationship Id="rId69" Type="http://schemas.openxmlformats.org/officeDocument/2006/relationships/externalLink" Target="externalLinks/externalLink18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1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8.xml"/><Relationship Id="rId67" Type="http://schemas.openxmlformats.org/officeDocument/2006/relationships/externalLink" Target="externalLinks/externalLink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3.xml"/><Relationship Id="rId62" Type="http://schemas.openxmlformats.org/officeDocument/2006/relationships/externalLink" Target="externalLinks/externalLink11.xml"/><Relationship Id="rId70" Type="http://schemas.openxmlformats.org/officeDocument/2006/relationships/externalLink" Target="externalLinks/externalLink19.xml"/><Relationship Id="rId75" Type="http://schemas.openxmlformats.org/officeDocument/2006/relationships/externalLink" Target="externalLinks/externalLink2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0.png"/><Relationship Id="rId3" Type="http://schemas.openxmlformats.org/officeDocument/2006/relationships/image" Target="../media/image5.jpe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jpeg"/><Relationship Id="rId16" Type="http://schemas.openxmlformats.org/officeDocument/2006/relationships/image" Target="../media/image18.emf"/><Relationship Id="rId20" Type="http://schemas.openxmlformats.org/officeDocument/2006/relationships/image" Target="../media/image22.emf"/><Relationship Id="rId1" Type="http://schemas.openxmlformats.org/officeDocument/2006/relationships/image" Target="../media/image3.pn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jpe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4" Type="http://schemas.openxmlformats.org/officeDocument/2006/relationships/image" Target="../media/image6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9.jpeg"/><Relationship Id="rId3" Type="http://schemas.openxmlformats.org/officeDocument/2006/relationships/image" Target="../media/image27.jpe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26.jpeg"/><Relationship Id="rId16" Type="http://schemas.openxmlformats.org/officeDocument/2006/relationships/image" Target="../media/image18.emf"/><Relationship Id="rId20" Type="http://schemas.openxmlformats.org/officeDocument/2006/relationships/image" Target="../media/image31.emf"/><Relationship Id="rId1" Type="http://schemas.openxmlformats.org/officeDocument/2006/relationships/image" Target="../media/image25.jpe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3.pn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30.emf"/><Relationship Id="rId4" Type="http://schemas.openxmlformats.org/officeDocument/2006/relationships/image" Target="../media/image28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6.emf"/><Relationship Id="rId18" Type="http://schemas.openxmlformats.org/officeDocument/2006/relationships/image" Target="../media/image1.png"/><Relationship Id="rId3" Type="http://schemas.openxmlformats.org/officeDocument/2006/relationships/image" Target="../media/image36.png"/><Relationship Id="rId7" Type="http://schemas.openxmlformats.org/officeDocument/2006/relationships/image" Target="../media/image9.emf"/><Relationship Id="rId12" Type="http://schemas.openxmlformats.org/officeDocument/2006/relationships/image" Target="../media/image15.emf"/><Relationship Id="rId17" Type="http://schemas.openxmlformats.org/officeDocument/2006/relationships/image" Target="../media/image11.emf"/><Relationship Id="rId2" Type="http://schemas.openxmlformats.org/officeDocument/2006/relationships/image" Target="../media/image35.png"/><Relationship Id="rId16" Type="http://schemas.openxmlformats.org/officeDocument/2006/relationships/image" Target="../media/image19.emf"/><Relationship Id="rId20" Type="http://schemas.openxmlformats.org/officeDocument/2006/relationships/image" Target="../media/image39.emf"/><Relationship Id="rId1" Type="http://schemas.openxmlformats.org/officeDocument/2006/relationships/image" Target="../media/image34.png"/><Relationship Id="rId6" Type="http://schemas.openxmlformats.org/officeDocument/2006/relationships/image" Target="../media/image8.emf"/><Relationship Id="rId11" Type="http://schemas.openxmlformats.org/officeDocument/2006/relationships/image" Target="../media/image14.emf"/><Relationship Id="rId5" Type="http://schemas.openxmlformats.org/officeDocument/2006/relationships/image" Target="../media/image3.png"/><Relationship Id="rId15" Type="http://schemas.openxmlformats.org/officeDocument/2006/relationships/image" Target="../media/image18.emf"/><Relationship Id="rId10" Type="http://schemas.openxmlformats.org/officeDocument/2006/relationships/image" Target="../media/image13.emf"/><Relationship Id="rId19" Type="http://schemas.openxmlformats.org/officeDocument/2006/relationships/image" Target="../media/image38.emf"/><Relationship Id="rId4" Type="http://schemas.openxmlformats.org/officeDocument/2006/relationships/image" Target="../media/image37.jpeg"/><Relationship Id="rId9" Type="http://schemas.openxmlformats.org/officeDocument/2006/relationships/image" Target="../media/image12.emf"/><Relationship Id="rId14" Type="http://schemas.openxmlformats.org/officeDocument/2006/relationships/image" Target="../media/image17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4.png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43.png"/><Relationship Id="rId16" Type="http://schemas.openxmlformats.org/officeDocument/2006/relationships/image" Target="../media/image17.emf"/><Relationship Id="rId20" Type="http://schemas.openxmlformats.org/officeDocument/2006/relationships/image" Target="../media/image48.emf"/><Relationship Id="rId1" Type="http://schemas.openxmlformats.org/officeDocument/2006/relationships/image" Target="../media/image42.png"/><Relationship Id="rId6" Type="http://schemas.openxmlformats.org/officeDocument/2006/relationships/image" Target="../media/image3.png"/><Relationship Id="rId11" Type="http://schemas.openxmlformats.org/officeDocument/2006/relationships/image" Target="../media/image12.emf"/><Relationship Id="rId5" Type="http://schemas.openxmlformats.org/officeDocument/2006/relationships/image" Target="../media/image46.png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47.emf"/><Relationship Id="rId4" Type="http://schemas.openxmlformats.org/officeDocument/2006/relationships/image" Target="../media/image45.png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53.png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52.png"/><Relationship Id="rId16" Type="http://schemas.openxmlformats.org/officeDocument/2006/relationships/image" Target="../media/image17.emf"/><Relationship Id="rId20" Type="http://schemas.openxmlformats.org/officeDocument/2006/relationships/image" Target="../media/image57.emf"/><Relationship Id="rId1" Type="http://schemas.openxmlformats.org/officeDocument/2006/relationships/image" Target="../media/image51.png"/><Relationship Id="rId6" Type="http://schemas.openxmlformats.org/officeDocument/2006/relationships/image" Target="../media/image3.png"/><Relationship Id="rId11" Type="http://schemas.openxmlformats.org/officeDocument/2006/relationships/image" Target="../media/image12.emf"/><Relationship Id="rId5" Type="http://schemas.openxmlformats.org/officeDocument/2006/relationships/image" Target="../media/image55.png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56.emf"/><Relationship Id="rId4" Type="http://schemas.openxmlformats.org/officeDocument/2006/relationships/image" Target="../media/image54.png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3" Type="http://schemas.openxmlformats.org/officeDocument/2006/relationships/image" Target="../media/image62.png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1.emf"/><Relationship Id="rId2" Type="http://schemas.openxmlformats.org/officeDocument/2006/relationships/image" Target="../media/image61.png"/><Relationship Id="rId16" Type="http://schemas.openxmlformats.org/officeDocument/2006/relationships/image" Target="../media/image19.emf"/><Relationship Id="rId20" Type="http://schemas.openxmlformats.org/officeDocument/2006/relationships/image" Target="../media/image66.emf"/><Relationship Id="rId1" Type="http://schemas.openxmlformats.org/officeDocument/2006/relationships/image" Target="../media/image60.png"/><Relationship Id="rId6" Type="http://schemas.openxmlformats.org/officeDocument/2006/relationships/image" Target="../media/image3.png"/><Relationship Id="rId11" Type="http://schemas.openxmlformats.org/officeDocument/2006/relationships/image" Target="../media/image13.emf"/><Relationship Id="rId5" Type="http://schemas.openxmlformats.org/officeDocument/2006/relationships/image" Target="../media/image64.png"/><Relationship Id="rId15" Type="http://schemas.openxmlformats.org/officeDocument/2006/relationships/image" Target="../media/image18.emf"/><Relationship Id="rId10" Type="http://schemas.openxmlformats.org/officeDocument/2006/relationships/image" Target="../media/image12.emf"/><Relationship Id="rId19" Type="http://schemas.openxmlformats.org/officeDocument/2006/relationships/image" Target="../media/image65.emf"/><Relationship Id="rId4" Type="http://schemas.openxmlformats.org/officeDocument/2006/relationships/image" Target="../media/image63.png"/><Relationship Id="rId9" Type="http://schemas.openxmlformats.org/officeDocument/2006/relationships/image" Target="../media/image10.emf"/><Relationship Id="rId14" Type="http://schemas.openxmlformats.org/officeDocument/2006/relationships/image" Target="../media/image17.emf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73.png"/><Relationship Id="rId3" Type="http://schemas.openxmlformats.org/officeDocument/2006/relationships/image" Target="../media/image71.png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70.png"/><Relationship Id="rId16" Type="http://schemas.openxmlformats.org/officeDocument/2006/relationships/image" Target="../media/image18.emf"/><Relationship Id="rId20" Type="http://schemas.openxmlformats.org/officeDocument/2006/relationships/image" Target="../media/image75.emf"/><Relationship Id="rId1" Type="http://schemas.openxmlformats.org/officeDocument/2006/relationships/image" Target="../media/image69.png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3.png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74.emf"/><Relationship Id="rId4" Type="http://schemas.openxmlformats.org/officeDocument/2006/relationships/image" Target="../media/image72.jpeg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5.emf"/><Relationship Id="rId18" Type="http://schemas.openxmlformats.org/officeDocument/2006/relationships/image" Target="../media/image16.emf"/><Relationship Id="rId3" Type="http://schemas.openxmlformats.org/officeDocument/2006/relationships/image" Target="../media/image80.png"/><Relationship Id="rId7" Type="http://schemas.openxmlformats.org/officeDocument/2006/relationships/image" Target="../media/image8.emf"/><Relationship Id="rId12" Type="http://schemas.openxmlformats.org/officeDocument/2006/relationships/image" Target="../media/image14.emf"/><Relationship Id="rId17" Type="http://schemas.openxmlformats.org/officeDocument/2006/relationships/image" Target="../media/image11.emf"/><Relationship Id="rId2" Type="http://schemas.openxmlformats.org/officeDocument/2006/relationships/image" Target="../media/image79.png"/><Relationship Id="rId16" Type="http://schemas.openxmlformats.org/officeDocument/2006/relationships/image" Target="../media/image19.emf"/><Relationship Id="rId20" Type="http://schemas.openxmlformats.org/officeDocument/2006/relationships/image" Target="../media/image84.emf"/><Relationship Id="rId1" Type="http://schemas.openxmlformats.org/officeDocument/2006/relationships/image" Target="../media/image78.png"/><Relationship Id="rId6" Type="http://schemas.openxmlformats.org/officeDocument/2006/relationships/image" Target="../media/image3.png"/><Relationship Id="rId11" Type="http://schemas.openxmlformats.org/officeDocument/2006/relationships/image" Target="../media/image13.emf"/><Relationship Id="rId5" Type="http://schemas.openxmlformats.org/officeDocument/2006/relationships/image" Target="../media/image82.png"/><Relationship Id="rId15" Type="http://schemas.openxmlformats.org/officeDocument/2006/relationships/image" Target="../media/image18.emf"/><Relationship Id="rId10" Type="http://schemas.openxmlformats.org/officeDocument/2006/relationships/image" Target="../media/image12.emf"/><Relationship Id="rId19" Type="http://schemas.openxmlformats.org/officeDocument/2006/relationships/image" Target="../media/image83.emf"/><Relationship Id="rId4" Type="http://schemas.openxmlformats.org/officeDocument/2006/relationships/image" Target="../media/image81.png"/><Relationship Id="rId9" Type="http://schemas.openxmlformats.org/officeDocument/2006/relationships/image" Target="../media/image10.emf"/><Relationship Id="rId14" Type="http://schemas.openxmlformats.org/officeDocument/2006/relationships/image" Target="../media/image17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3.png"/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12" Type="http://schemas.openxmlformats.org/officeDocument/2006/relationships/image" Target="../media/image19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1" Type="http://schemas.openxmlformats.org/officeDocument/2006/relationships/image" Target="../media/image18.emf"/><Relationship Id="rId5" Type="http://schemas.openxmlformats.org/officeDocument/2006/relationships/image" Target="../media/image12.emf"/><Relationship Id="rId15" Type="http://schemas.openxmlformats.org/officeDocument/2006/relationships/image" Target="../media/image87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20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69.png"/><Relationship Id="rId18" Type="http://schemas.openxmlformats.org/officeDocument/2006/relationships/image" Target="../media/image82.png"/><Relationship Id="rId26" Type="http://schemas.openxmlformats.org/officeDocument/2006/relationships/image" Target="../media/image28.jpeg"/><Relationship Id="rId3" Type="http://schemas.openxmlformats.org/officeDocument/2006/relationships/image" Target="../media/image46.png"/><Relationship Id="rId21" Type="http://schemas.openxmlformats.org/officeDocument/2006/relationships/image" Target="../media/image7.jpeg"/><Relationship Id="rId7" Type="http://schemas.openxmlformats.org/officeDocument/2006/relationships/image" Target="../media/image54.png"/><Relationship Id="rId12" Type="http://schemas.openxmlformats.org/officeDocument/2006/relationships/image" Target="../media/image63.png"/><Relationship Id="rId17" Type="http://schemas.openxmlformats.org/officeDocument/2006/relationships/image" Target="../media/image79.png"/><Relationship Id="rId25" Type="http://schemas.openxmlformats.org/officeDocument/2006/relationships/image" Target="../media/image25.jpeg"/><Relationship Id="rId33" Type="http://schemas.openxmlformats.org/officeDocument/2006/relationships/image" Target="../media/image89.png"/><Relationship Id="rId2" Type="http://schemas.openxmlformats.org/officeDocument/2006/relationships/image" Target="../media/image44.png"/><Relationship Id="rId16" Type="http://schemas.openxmlformats.org/officeDocument/2006/relationships/image" Target="../media/image71.png"/><Relationship Id="rId20" Type="http://schemas.openxmlformats.org/officeDocument/2006/relationships/image" Target="../media/image81.png"/><Relationship Id="rId29" Type="http://schemas.openxmlformats.org/officeDocument/2006/relationships/image" Target="../media/image37.jpeg"/><Relationship Id="rId1" Type="http://schemas.openxmlformats.org/officeDocument/2006/relationships/image" Target="../media/image43.png"/><Relationship Id="rId6" Type="http://schemas.openxmlformats.org/officeDocument/2006/relationships/image" Target="../media/image55.png"/><Relationship Id="rId11" Type="http://schemas.openxmlformats.org/officeDocument/2006/relationships/image" Target="../media/image62.png"/><Relationship Id="rId24" Type="http://schemas.openxmlformats.org/officeDocument/2006/relationships/image" Target="../media/image6.jpeg"/><Relationship Id="rId32" Type="http://schemas.openxmlformats.org/officeDocument/2006/relationships/image" Target="../media/image34.png"/><Relationship Id="rId5" Type="http://schemas.openxmlformats.org/officeDocument/2006/relationships/image" Target="../media/image52.png"/><Relationship Id="rId15" Type="http://schemas.openxmlformats.org/officeDocument/2006/relationships/image" Target="../media/image70.png"/><Relationship Id="rId23" Type="http://schemas.openxmlformats.org/officeDocument/2006/relationships/image" Target="../media/image4.jpeg"/><Relationship Id="rId28" Type="http://schemas.openxmlformats.org/officeDocument/2006/relationships/image" Target="../media/image27.jpeg"/><Relationship Id="rId10" Type="http://schemas.openxmlformats.org/officeDocument/2006/relationships/image" Target="../media/image64.png"/><Relationship Id="rId19" Type="http://schemas.openxmlformats.org/officeDocument/2006/relationships/image" Target="../media/image80.png"/><Relationship Id="rId31" Type="http://schemas.openxmlformats.org/officeDocument/2006/relationships/image" Target="../media/image36.png"/><Relationship Id="rId4" Type="http://schemas.openxmlformats.org/officeDocument/2006/relationships/image" Target="../media/image45.png"/><Relationship Id="rId9" Type="http://schemas.openxmlformats.org/officeDocument/2006/relationships/image" Target="../media/image61.png"/><Relationship Id="rId14" Type="http://schemas.openxmlformats.org/officeDocument/2006/relationships/image" Target="../media/image72.jpeg"/><Relationship Id="rId22" Type="http://schemas.openxmlformats.org/officeDocument/2006/relationships/image" Target="../media/image5.jpeg"/><Relationship Id="rId27" Type="http://schemas.openxmlformats.org/officeDocument/2006/relationships/image" Target="../media/image26.jpeg"/><Relationship Id="rId30" Type="http://schemas.openxmlformats.org/officeDocument/2006/relationships/image" Target="../media/image35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6.jpeg"/><Relationship Id="rId1" Type="http://schemas.openxmlformats.org/officeDocument/2006/relationships/image" Target="../media/image7.jpeg"/><Relationship Id="rId4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9.emf"/><Relationship Id="rId1" Type="http://schemas.openxmlformats.org/officeDocument/2006/relationships/image" Target="../media/image5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77.emf"/><Relationship Id="rId1" Type="http://schemas.openxmlformats.org/officeDocument/2006/relationships/image" Target="../media/image7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6.emf"/><Relationship Id="rId1" Type="http://schemas.openxmlformats.org/officeDocument/2006/relationships/image" Target="../media/image8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3</xdr:row>
      <xdr:rowOff>171450</xdr:rowOff>
    </xdr:from>
    <xdr:to>
      <xdr:col>3</xdr:col>
      <xdr:colOff>752475</xdr:colOff>
      <xdr:row>17</xdr:row>
      <xdr:rowOff>76200</xdr:rowOff>
    </xdr:to>
    <xdr:pic macro="[0]!No_Hace_Nada">
      <xdr:nvPicPr>
        <xdr:cNvPr id="11734" name="Picture 46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33450" y="84772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685800</xdr:colOff>
      <xdr:row>6</xdr:row>
      <xdr:rowOff>47625</xdr:rowOff>
    </xdr:from>
    <xdr:to>
      <xdr:col>6</xdr:col>
      <xdr:colOff>76200</xdr:colOff>
      <xdr:row>16</xdr:row>
      <xdr:rowOff>133350</xdr:rowOff>
    </xdr:to>
    <xdr:pic macro="[0]!No_Hace_Nada">
      <xdr:nvPicPr>
        <xdr:cNvPr id="11735" name="Picture 465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10000" y="1447800"/>
          <a:ext cx="952500" cy="2085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39941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104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3994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3994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3994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3994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39946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399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399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39949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3995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399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3995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3995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399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39955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399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399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3995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3995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3996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3996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996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3996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996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996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3996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3996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3996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3996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3997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3997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97155</xdr:colOff>
      <xdr:row>1</xdr:row>
      <xdr:rowOff>276225</xdr:rowOff>
    </xdr:to>
    <xdr:pic macro="[0]!Activa_SemiFinal">
      <xdr:nvPicPr>
        <xdr:cNvPr id="13997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114300</xdr:colOff>
      <xdr:row>1</xdr:row>
      <xdr:rowOff>38100</xdr:rowOff>
    </xdr:from>
    <xdr:to>
      <xdr:col>16</xdr:col>
      <xdr:colOff>304800</xdr:colOff>
      <xdr:row>1</xdr:row>
      <xdr:rowOff>276225</xdr:rowOff>
    </xdr:to>
    <xdr:pic macro="[0]!Activa_Final">
      <xdr:nvPicPr>
        <xdr:cNvPr id="13997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38100</xdr:colOff>
      <xdr:row>9</xdr:row>
      <xdr:rowOff>0</xdr:rowOff>
    </xdr:from>
    <xdr:to>
      <xdr:col>27</xdr:col>
      <xdr:colOff>0</xdr:colOff>
      <xdr:row>28</xdr:row>
      <xdr:rowOff>123825</xdr:rowOff>
    </xdr:to>
    <xdr:pic macro="[0]!No_Hace_Nada">
      <xdr:nvPicPr>
        <xdr:cNvPr id="139974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724775" y="2228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16</xdr:row>
          <xdr:rowOff>0</xdr:rowOff>
        </xdr:from>
        <xdr:to>
          <xdr:col>15</xdr:col>
          <xdr:colOff>361950</xdr:colOff>
          <xdr:row>17</xdr:row>
          <xdr:rowOff>38100</xdr:rowOff>
        </xdr:to>
        <xdr:pic>
          <xdr:nvPicPr>
            <xdr:cNvPr id="2103" name="imgGA_C1"/>
            <xdr:cNvPicPr preferRelativeResize="0">
              <a:picLocks noChangeArrowheads="1"/>
              <a:extLst>
                <a:ext uri="{84589F7E-364E-4C9E-8A38-B11213B215E9}">
                  <a14:cameraTool cellRange="GA_C1" spid="_x0000_s212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000750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0</xdr:rowOff>
        </xdr:from>
        <xdr:to>
          <xdr:col>15</xdr:col>
          <xdr:colOff>361950</xdr:colOff>
          <xdr:row>18</xdr:row>
          <xdr:rowOff>38100</xdr:rowOff>
        </xdr:to>
        <xdr:pic>
          <xdr:nvPicPr>
            <xdr:cNvPr id="2104" name="imgGA_C2"/>
            <xdr:cNvPicPr preferRelativeResize="0">
              <a:picLocks noChangeArrowheads="1"/>
              <a:extLst>
                <a:ext uri="{84589F7E-364E-4C9E-8A38-B11213B215E9}">
                  <a14:cameraTool cellRange="GA_C2" spid="_x0000_s212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6000750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0965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0966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0967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0968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0969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0970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0971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638425" y="15525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0972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638425" y="17240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0973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638425" y="20669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0974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638425" y="18954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0975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638425" y="223837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866775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0976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638425" y="2409825"/>
          <a:ext cx="1809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0977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584835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0978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44855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0979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84835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0980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44855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0981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84835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0982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44855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0983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84835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0984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44855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0985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77100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0986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0987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0988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098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0990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0991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0992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0993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0994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1028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0995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66141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116205</xdr:colOff>
      <xdr:row>1</xdr:row>
      <xdr:rowOff>276225</xdr:rowOff>
    </xdr:to>
    <xdr:pic macro="[0]!Activa_SemiFinal">
      <xdr:nvPicPr>
        <xdr:cNvPr id="140996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64058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133350</xdr:colOff>
      <xdr:row>1</xdr:row>
      <xdr:rowOff>38100</xdr:rowOff>
    </xdr:from>
    <xdr:to>
      <xdr:col>16</xdr:col>
      <xdr:colOff>323850</xdr:colOff>
      <xdr:row>1</xdr:row>
      <xdr:rowOff>276225</xdr:rowOff>
    </xdr:to>
    <xdr:pic macro="[0]!Activa_Final">
      <xdr:nvPicPr>
        <xdr:cNvPr id="140997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81977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76200</xdr:colOff>
      <xdr:row>10</xdr:row>
      <xdr:rowOff>95250</xdr:rowOff>
    </xdr:from>
    <xdr:to>
      <xdr:col>26</xdr:col>
      <xdr:colOff>304800</xdr:colOff>
      <xdr:row>30</xdr:row>
      <xdr:rowOff>66675</xdr:rowOff>
    </xdr:to>
    <xdr:pic macro="[0]!No_Hace_Nada">
      <xdr:nvPicPr>
        <xdr:cNvPr id="140998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715250" y="24955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16</xdr:row>
          <xdr:rowOff>0</xdr:rowOff>
        </xdr:from>
        <xdr:to>
          <xdr:col>16</xdr:col>
          <xdr:colOff>0</xdr:colOff>
          <xdr:row>17</xdr:row>
          <xdr:rowOff>38100</xdr:rowOff>
        </xdr:to>
        <xdr:pic>
          <xdr:nvPicPr>
            <xdr:cNvPr id="3127" name="imgGB_C1"/>
            <xdr:cNvPicPr preferRelativeResize="0">
              <a:picLocks noChangeArrowheads="1"/>
              <a:extLst>
                <a:ext uri="{84589F7E-364E-4C9E-8A38-B11213B215E9}">
                  <a14:cameraTool cellRange="GB_C1" spid="_x0000_s314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067425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17</xdr:row>
          <xdr:rowOff>0</xdr:rowOff>
        </xdr:from>
        <xdr:to>
          <xdr:col>16</xdr:col>
          <xdr:colOff>0</xdr:colOff>
          <xdr:row>18</xdr:row>
          <xdr:rowOff>38100</xdr:rowOff>
        </xdr:to>
        <xdr:pic>
          <xdr:nvPicPr>
            <xdr:cNvPr id="3128" name="imgGB_C2"/>
            <xdr:cNvPicPr preferRelativeResize="0">
              <a:picLocks noChangeArrowheads="1"/>
              <a:extLst>
                <a:ext uri="{84589F7E-364E-4C9E-8A38-B11213B215E9}">
                  <a14:cameraTool cellRange="GB_C2" spid="_x0000_s314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6067425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1991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1992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1993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1994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1995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1996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1997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952750" y="15525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1998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952750" y="17240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1999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952750" y="18954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2000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952750" y="20669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2001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952750" y="223837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981075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2002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952750" y="2409825"/>
          <a:ext cx="2000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2003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618172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2004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78192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2005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18172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2006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78192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2007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18172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2008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78192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2009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18172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2010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78192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2011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61047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201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201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201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2</xdr:col>
      <xdr:colOff>173354</xdr:colOff>
      <xdr:row>1</xdr:row>
      <xdr:rowOff>276225</xdr:rowOff>
    </xdr:to>
    <xdr:pic macro="[0]!Activa_GrupoE">
      <xdr:nvPicPr>
        <xdr:cNvPr id="142015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190499</xdr:colOff>
      <xdr:row>1</xdr:row>
      <xdr:rowOff>38100</xdr:rowOff>
    </xdr:from>
    <xdr:to>
      <xdr:col>4</xdr:col>
      <xdr:colOff>85724</xdr:colOff>
      <xdr:row>1</xdr:row>
      <xdr:rowOff>276225</xdr:rowOff>
    </xdr:to>
    <xdr:pic macro="[0]!Activa_GrupoF">
      <xdr:nvPicPr>
        <xdr:cNvPr id="142016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</xdr:colOff>
      <xdr:row>1</xdr:row>
      <xdr:rowOff>38100</xdr:rowOff>
    </xdr:from>
    <xdr:to>
      <xdr:col>5</xdr:col>
      <xdr:colOff>112395</xdr:colOff>
      <xdr:row>1</xdr:row>
      <xdr:rowOff>276225</xdr:rowOff>
    </xdr:to>
    <xdr:pic macro="[0]!Activa_GrupoG">
      <xdr:nvPicPr>
        <xdr:cNvPr id="142017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129540</xdr:colOff>
      <xdr:row>1</xdr:row>
      <xdr:rowOff>38100</xdr:rowOff>
    </xdr:from>
    <xdr:to>
      <xdr:col>5</xdr:col>
      <xdr:colOff>386715</xdr:colOff>
      <xdr:row>1</xdr:row>
      <xdr:rowOff>276225</xdr:rowOff>
    </xdr:to>
    <xdr:pic macro="[0]!Activa_GrupoH">
      <xdr:nvPicPr>
        <xdr:cNvPr id="142018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643890</xdr:colOff>
      <xdr:row>1</xdr:row>
      <xdr:rowOff>38100</xdr:rowOff>
    </xdr:from>
    <xdr:to>
      <xdr:col>6</xdr:col>
      <xdr:colOff>624840</xdr:colOff>
      <xdr:row>1</xdr:row>
      <xdr:rowOff>276225</xdr:rowOff>
    </xdr:to>
    <xdr:pic macro="[0]!Activa_Octavos">
      <xdr:nvPicPr>
        <xdr:cNvPr id="142019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61556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641985</xdr:colOff>
      <xdr:row>1</xdr:row>
      <xdr:rowOff>38100</xdr:rowOff>
    </xdr:from>
    <xdr:to>
      <xdr:col>9</xdr:col>
      <xdr:colOff>127635</xdr:colOff>
      <xdr:row>1</xdr:row>
      <xdr:rowOff>276225</xdr:rowOff>
    </xdr:to>
    <xdr:pic macro="[0]!Activa_Cuartos">
      <xdr:nvPicPr>
        <xdr:cNvPr id="142020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7947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144780</xdr:colOff>
      <xdr:row>1</xdr:row>
      <xdr:rowOff>38100</xdr:rowOff>
    </xdr:from>
    <xdr:to>
      <xdr:col>13</xdr:col>
      <xdr:colOff>116205</xdr:colOff>
      <xdr:row>1</xdr:row>
      <xdr:rowOff>276225</xdr:rowOff>
    </xdr:to>
    <xdr:pic macro="[0]!Activa_SemiFinal">
      <xdr:nvPicPr>
        <xdr:cNvPr id="142021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7739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133350</xdr:colOff>
      <xdr:row>1</xdr:row>
      <xdr:rowOff>38100</xdr:rowOff>
    </xdr:from>
    <xdr:to>
      <xdr:col>16</xdr:col>
      <xdr:colOff>76200</xdr:colOff>
      <xdr:row>1</xdr:row>
      <xdr:rowOff>276225</xdr:rowOff>
    </xdr:to>
    <xdr:pic macro="[0]!Activa_Final">
      <xdr:nvPicPr>
        <xdr:cNvPr id="142022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9531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2023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20</xdr:col>
      <xdr:colOff>9525</xdr:colOff>
      <xdr:row>9</xdr:row>
      <xdr:rowOff>0</xdr:rowOff>
    </xdr:from>
    <xdr:to>
      <xdr:col>27</xdr:col>
      <xdr:colOff>104775</xdr:colOff>
      <xdr:row>28</xdr:row>
      <xdr:rowOff>123825</xdr:rowOff>
    </xdr:to>
    <xdr:pic macro="[0]!No_Hace_Nada">
      <xdr:nvPicPr>
        <xdr:cNvPr id="142024" name="Picture 7778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096250" y="2228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16</xdr:row>
          <xdr:rowOff>0</xdr:rowOff>
        </xdr:from>
        <xdr:to>
          <xdr:col>15</xdr:col>
          <xdr:colOff>371475</xdr:colOff>
          <xdr:row>17</xdr:row>
          <xdr:rowOff>38100</xdr:rowOff>
        </xdr:to>
        <xdr:pic>
          <xdr:nvPicPr>
            <xdr:cNvPr id="4153" name="imgGC_C1"/>
            <xdr:cNvPicPr preferRelativeResize="0">
              <a:picLocks noChangeArrowheads="1"/>
              <a:extLst>
                <a:ext uri="{84589F7E-364E-4C9E-8A38-B11213B215E9}">
                  <a14:cameraTool cellRange="GC_C1" spid="_x0000_s417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438900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17</xdr:row>
          <xdr:rowOff>0</xdr:rowOff>
        </xdr:from>
        <xdr:to>
          <xdr:col>15</xdr:col>
          <xdr:colOff>371475</xdr:colOff>
          <xdr:row>18</xdr:row>
          <xdr:rowOff>38100</xdr:rowOff>
        </xdr:to>
        <xdr:pic>
          <xdr:nvPicPr>
            <xdr:cNvPr id="4154" name="imgGC_C2"/>
            <xdr:cNvPicPr preferRelativeResize="0">
              <a:picLocks noChangeArrowheads="1"/>
              <a:extLst>
                <a:ext uri="{84589F7E-364E-4C9E-8A38-B11213B215E9}">
                  <a14:cameraTool cellRange="GC_C2" spid="_x0000_s417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6438900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333375</xdr:colOff>
      <xdr:row>14</xdr:row>
      <xdr:rowOff>47625</xdr:rowOff>
    </xdr:from>
    <xdr:to>
      <xdr:col>23</xdr:col>
      <xdr:colOff>219075</xdr:colOff>
      <xdr:row>20</xdr:row>
      <xdr:rowOff>142875</xdr:rowOff>
    </xdr:to>
    <xdr:pic macro="[0]!No_Hace_Nada">
      <xdr:nvPicPr>
        <xdr:cNvPr id="143011" name="imgG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010400" y="3133725"/>
          <a:ext cx="1905000" cy="10668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3012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3013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301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3015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3016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3017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3018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3019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3020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3021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3022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3023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302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3025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3026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3027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3028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3029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3030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3031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3032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10425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3033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3034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3035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3036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3037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3038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3039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3040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3041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3042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106680</xdr:colOff>
      <xdr:row>1</xdr:row>
      <xdr:rowOff>276225</xdr:rowOff>
    </xdr:to>
    <xdr:pic macro="[0]!Activa_SemiFinal">
      <xdr:nvPicPr>
        <xdr:cNvPr id="143043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123825</xdr:colOff>
      <xdr:row>1</xdr:row>
      <xdr:rowOff>38100</xdr:rowOff>
    </xdr:from>
    <xdr:to>
      <xdr:col>16</xdr:col>
      <xdr:colOff>314325</xdr:colOff>
      <xdr:row>1</xdr:row>
      <xdr:rowOff>276225</xdr:rowOff>
    </xdr:to>
    <xdr:pic macro="[0]!Activa_Final">
      <xdr:nvPicPr>
        <xdr:cNvPr id="143044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16</xdr:row>
          <xdr:rowOff>9525</xdr:rowOff>
        </xdr:from>
        <xdr:to>
          <xdr:col>15</xdr:col>
          <xdr:colOff>371475</xdr:colOff>
          <xdr:row>17</xdr:row>
          <xdr:rowOff>47625</xdr:rowOff>
        </xdr:to>
        <xdr:pic>
          <xdr:nvPicPr>
            <xdr:cNvPr id="5175" name="imgGD_C1"/>
            <xdr:cNvPicPr preferRelativeResize="0">
              <a:picLocks noChangeArrowheads="1"/>
              <a:extLst>
                <a:ext uri="{84589F7E-364E-4C9E-8A38-B11213B215E9}">
                  <a14:cameraTool cellRange="GD_C1" spid="_x0000_s519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000750" y="34194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17</xdr:row>
          <xdr:rowOff>9525</xdr:rowOff>
        </xdr:from>
        <xdr:to>
          <xdr:col>15</xdr:col>
          <xdr:colOff>371475</xdr:colOff>
          <xdr:row>18</xdr:row>
          <xdr:rowOff>47625</xdr:rowOff>
        </xdr:to>
        <xdr:pic>
          <xdr:nvPicPr>
            <xdr:cNvPr id="5176" name="imgGD_C2"/>
            <xdr:cNvPicPr preferRelativeResize="0">
              <a:picLocks noChangeArrowheads="1"/>
              <a:extLst>
                <a:ext uri="{84589F7E-364E-4C9E-8A38-B11213B215E9}">
                  <a14:cameraTool cellRange="GD_C2" spid="_x0000_s5196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6000750" y="358140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142875</xdr:colOff>
      <xdr:row>11</xdr:row>
      <xdr:rowOff>123825</xdr:rowOff>
    </xdr:from>
    <xdr:to>
      <xdr:col>25</xdr:col>
      <xdr:colOff>304800</xdr:colOff>
      <xdr:row>26</xdr:row>
      <xdr:rowOff>104775</xdr:rowOff>
    </xdr:to>
    <xdr:pic macro="[0]!No_Hace_Nada">
      <xdr:nvPicPr>
        <xdr:cNvPr id="144035" name="imgG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15250" y="2695575"/>
          <a:ext cx="1781175" cy="2047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4036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4037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403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4039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4040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4041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4042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4043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4044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4045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4046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4047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404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4049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4050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4051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4052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4053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4054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4055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4056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10425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4057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4058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4059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4060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4061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4062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4063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4064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4065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4066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125730</xdr:colOff>
      <xdr:row>1</xdr:row>
      <xdr:rowOff>276225</xdr:rowOff>
    </xdr:to>
    <xdr:pic macro="[0]!Activa_SemiFinal">
      <xdr:nvPicPr>
        <xdr:cNvPr id="144067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142875</xdr:colOff>
      <xdr:row>1</xdr:row>
      <xdr:rowOff>38100</xdr:rowOff>
    </xdr:from>
    <xdr:to>
      <xdr:col>16</xdr:col>
      <xdr:colOff>333375</xdr:colOff>
      <xdr:row>1</xdr:row>
      <xdr:rowOff>276225</xdr:rowOff>
    </xdr:to>
    <xdr:pic macro="[0]!Activa_Final">
      <xdr:nvPicPr>
        <xdr:cNvPr id="144068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16</xdr:row>
          <xdr:rowOff>9525</xdr:rowOff>
        </xdr:from>
        <xdr:to>
          <xdr:col>15</xdr:col>
          <xdr:colOff>371475</xdr:colOff>
          <xdr:row>17</xdr:row>
          <xdr:rowOff>47625</xdr:rowOff>
        </xdr:to>
        <xdr:pic>
          <xdr:nvPicPr>
            <xdr:cNvPr id="6199" name="imgGE_C1"/>
            <xdr:cNvPicPr preferRelativeResize="0">
              <a:picLocks noChangeArrowheads="1"/>
              <a:extLst>
                <a:ext uri="{84589F7E-364E-4C9E-8A38-B11213B215E9}">
                  <a14:cameraTool cellRange="GE_C1" spid="_x0000_s621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5981700" y="34194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17</xdr:row>
          <xdr:rowOff>9525</xdr:rowOff>
        </xdr:from>
        <xdr:to>
          <xdr:col>15</xdr:col>
          <xdr:colOff>371475</xdr:colOff>
          <xdr:row>18</xdr:row>
          <xdr:rowOff>47625</xdr:rowOff>
        </xdr:to>
        <xdr:pic>
          <xdr:nvPicPr>
            <xdr:cNvPr id="6200" name="imgGE_C2"/>
            <xdr:cNvPicPr preferRelativeResize="0">
              <a:picLocks noChangeArrowheads="1"/>
              <a:extLst>
                <a:ext uri="{84589F7E-364E-4C9E-8A38-B11213B215E9}">
                  <a14:cameraTool cellRange="GE_C2" spid="_x0000_s6220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5981700" y="358140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390525</xdr:colOff>
      <xdr:row>14</xdr:row>
      <xdr:rowOff>9525</xdr:rowOff>
    </xdr:from>
    <xdr:to>
      <xdr:col>23</xdr:col>
      <xdr:colOff>66675</xdr:colOff>
      <xdr:row>21</xdr:row>
      <xdr:rowOff>66675</xdr:rowOff>
    </xdr:to>
    <xdr:pic macro="[0]!No_Hace_Nada">
      <xdr:nvPicPr>
        <xdr:cNvPr id="145059" name="imgG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34350" y="3095625"/>
          <a:ext cx="1628775" cy="1190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5060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5061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506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5063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5064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5065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5066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524250" y="15525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5067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3524250" y="17240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5068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524250" y="18954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5069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524250" y="20669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5070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3524250" y="223837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1352550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5071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524250" y="2409825"/>
          <a:ext cx="16192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507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8484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5073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8448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5074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68484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5075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8448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5076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8484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5077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8448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5078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8484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5079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8448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5080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82772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5081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5082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5083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1</xdr:col>
      <xdr:colOff>1354454</xdr:colOff>
      <xdr:row>1</xdr:row>
      <xdr:rowOff>276225</xdr:rowOff>
    </xdr:to>
    <xdr:pic macro="[0]!Activa_GrupoE">
      <xdr:nvPicPr>
        <xdr:cNvPr id="145084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1371599</xdr:colOff>
      <xdr:row>1</xdr:row>
      <xdr:rowOff>38100</xdr:rowOff>
    </xdr:from>
    <xdr:to>
      <xdr:col>2</xdr:col>
      <xdr:colOff>247649</xdr:colOff>
      <xdr:row>1</xdr:row>
      <xdr:rowOff>276225</xdr:rowOff>
    </xdr:to>
    <xdr:pic macro="[0]!Activa_GrupoF">
      <xdr:nvPicPr>
        <xdr:cNvPr id="145085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17145</xdr:colOff>
      <xdr:row>1</xdr:row>
      <xdr:rowOff>38100</xdr:rowOff>
    </xdr:from>
    <xdr:to>
      <xdr:col>4</xdr:col>
      <xdr:colOff>160020</xdr:colOff>
      <xdr:row>1</xdr:row>
      <xdr:rowOff>276225</xdr:rowOff>
    </xdr:to>
    <xdr:pic macro="[0]!Activa_GrupoG">
      <xdr:nvPicPr>
        <xdr:cNvPr id="145086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177165</xdr:colOff>
      <xdr:row>1</xdr:row>
      <xdr:rowOff>38100</xdr:rowOff>
    </xdr:from>
    <xdr:to>
      <xdr:col>5</xdr:col>
      <xdr:colOff>186690</xdr:colOff>
      <xdr:row>1</xdr:row>
      <xdr:rowOff>276225</xdr:rowOff>
    </xdr:to>
    <xdr:pic macro="[0]!Activa_GrupoH">
      <xdr:nvPicPr>
        <xdr:cNvPr id="145087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1423035</xdr:colOff>
      <xdr:row>1</xdr:row>
      <xdr:rowOff>38100</xdr:rowOff>
    </xdr:from>
    <xdr:to>
      <xdr:col>6</xdr:col>
      <xdr:colOff>1003935</xdr:colOff>
      <xdr:row>1</xdr:row>
      <xdr:rowOff>276225</xdr:rowOff>
    </xdr:to>
    <xdr:pic macro="[0]!Activa_Cuartos">
      <xdr:nvPicPr>
        <xdr:cNvPr id="145088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594735" y="676275"/>
          <a:ext cx="10953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1021080</xdr:colOff>
      <xdr:row>1</xdr:row>
      <xdr:rowOff>38100</xdr:rowOff>
    </xdr:from>
    <xdr:to>
      <xdr:col>11</xdr:col>
      <xdr:colOff>78105</xdr:colOff>
      <xdr:row>1</xdr:row>
      <xdr:rowOff>276225</xdr:rowOff>
    </xdr:to>
    <xdr:pic macro="[0]!Activa_SemiFinal">
      <xdr:nvPicPr>
        <xdr:cNvPr id="145089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70725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95250</xdr:colOff>
      <xdr:row>1</xdr:row>
      <xdr:rowOff>38100</xdr:rowOff>
    </xdr:from>
    <xdr:to>
      <xdr:col>14</xdr:col>
      <xdr:colOff>95250</xdr:colOff>
      <xdr:row>1</xdr:row>
      <xdr:rowOff>276225</xdr:rowOff>
    </xdr:to>
    <xdr:pic macro="[0]!Activa_Final">
      <xdr:nvPicPr>
        <xdr:cNvPr id="145090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88645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5091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443865</xdr:colOff>
      <xdr:row>1</xdr:row>
      <xdr:rowOff>38100</xdr:rowOff>
    </xdr:from>
    <xdr:to>
      <xdr:col>5</xdr:col>
      <xdr:colOff>1405890</xdr:colOff>
      <xdr:row>1</xdr:row>
      <xdr:rowOff>276225</xdr:rowOff>
    </xdr:to>
    <xdr:pic macro="[0]!Activa_Octavos">
      <xdr:nvPicPr>
        <xdr:cNvPr id="145092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16</xdr:row>
          <xdr:rowOff>0</xdr:rowOff>
        </xdr:from>
        <xdr:to>
          <xdr:col>15</xdr:col>
          <xdr:colOff>371475</xdr:colOff>
          <xdr:row>17</xdr:row>
          <xdr:rowOff>38100</xdr:rowOff>
        </xdr:to>
        <xdr:pic>
          <xdr:nvPicPr>
            <xdr:cNvPr id="7223" name="imgGF_C1"/>
            <xdr:cNvPicPr preferRelativeResize="0">
              <a:picLocks noChangeArrowheads="1"/>
              <a:extLst>
                <a:ext uri="{84589F7E-364E-4C9E-8A38-B11213B215E9}">
                  <a14:cameraTool cellRange="GF_C1" spid="_x0000_s724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7048500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17</xdr:row>
          <xdr:rowOff>0</xdr:rowOff>
        </xdr:from>
        <xdr:to>
          <xdr:col>15</xdr:col>
          <xdr:colOff>371475</xdr:colOff>
          <xdr:row>18</xdr:row>
          <xdr:rowOff>38100</xdr:rowOff>
        </xdr:to>
        <xdr:pic>
          <xdr:nvPicPr>
            <xdr:cNvPr id="7224" name="imgGF_C2"/>
            <xdr:cNvPicPr preferRelativeResize="0">
              <a:picLocks noChangeArrowheads="1"/>
              <a:extLst>
                <a:ext uri="{84589F7E-364E-4C9E-8A38-B11213B215E9}">
                  <a14:cameraTool cellRange="GF_C2" spid="_x0000_s724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7048500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6085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6086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6087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6088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6089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6090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6091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15525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6092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2533650" y="17240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6093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18954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6094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2533650" y="20669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6095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2533650" y="223837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762000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6096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2533650" y="2409825"/>
          <a:ext cx="219075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6097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5781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6098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73818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6099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5781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6100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73818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6101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5781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6102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73818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6103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57816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6104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7381875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6105" name="imgGA2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7210425" y="104775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6106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6107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6108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610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4</xdr:col>
      <xdr:colOff>11429</xdr:colOff>
      <xdr:row>1</xdr:row>
      <xdr:rowOff>276225</xdr:rowOff>
    </xdr:to>
    <xdr:pic macro="[0]!Activa_GrupoE">
      <xdr:nvPicPr>
        <xdr:cNvPr id="146110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28574</xdr:colOff>
      <xdr:row>1</xdr:row>
      <xdr:rowOff>38100</xdr:rowOff>
    </xdr:from>
    <xdr:to>
      <xdr:col>5</xdr:col>
      <xdr:colOff>38099</xdr:colOff>
      <xdr:row>1</xdr:row>
      <xdr:rowOff>276225</xdr:rowOff>
    </xdr:to>
    <xdr:pic macro="[0]!Activa_GrupoF">
      <xdr:nvPicPr>
        <xdr:cNvPr id="146111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55245</xdr:colOff>
      <xdr:row>1</xdr:row>
      <xdr:rowOff>38100</xdr:rowOff>
    </xdr:from>
    <xdr:to>
      <xdr:col>5</xdr:col>
      <xdr:colOff>312420</xdr:colOff>
      <xdr:row>1</xdr:row>
      <xdr:rowOff>276225</xdr:rowOff>
    </xdr:to>
    <xdr:pic macro="[0]!Activa_GrupoG">
      <xdr:nvPicPr>
        <xdr:cNvPr id="146112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329565</xdr:colOff>
      <xdr:row>1</xdr:row>
      <xdr:rowOff>38100</xdr:rowOff>
    </xdr:from>
    <xdr:to>
      <xdr:col>5</xdr:col>
      <xdr:colOff>586740</xdr:colOff>
      <xdr:row>1</xdr:row>
      <xdr:rowOff>276225</xdr:rowOff>
    </xdr:to>
    <xdr:pic macro="[0]!Activa_GrupoH">
      <xdr:nvPicPr>
        <xdr:cNvPr id="146113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843915</xdr:colOff>
      <xdr:row>1</xdr:row>
      <xdr:rowOff>38100</xdr:rowOff>
    </xdr:from>
    <xdr:to>
      <xdr:col>6</xdr:col>
      <xdr:colOff>824865</xdr:colOff>
      <xdr:row>1</xdr:row>
      <xdr:rowOff>276225</xdr:rowOff>
    </xdr:to>
    <xdr:pic macro="[0]!Activa_Octavos">
      <xdr:nvPicPr>
        <xdr:cNvPr id="146114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842010</xdr:colOff>
      <xdr:row>1</xdr:row>
      <xdr:rowOff>38100</xdr:rowOff>
    </xdr:from>
    <xdr:to>
      <xdr:col>10</xdr:col>
      <xdr:colOff>80010</xdr:colOff>
      <xdr:row>1</xdr:row>
      <xdr:rowOff>276225</xdr:rowOff>
    </xdr:to>
    <xdr:pic macro="[0]!Activa_Cuartos">
      <xdr:nvPicPr>
        <xdr:cNvPr id="146115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359473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97155</xdr:colOff>
      <xdr:row>1</xdr:row>
      <xdr:rowOff>38100</xdr:rowOff>
    </xdr:from>
    <xdr:to>
      <xdr:col>14</xdr:col>
      <xdr:colOff>78105</xdr:colOff>
      <xdr:row>1</xdr:row>
      <xdr:rowOff>276225</xdr:rowOff>
    </xdr:to>
    <xdr:pic macro="[0]!Activa_SemiFinal">
      <xdr:nvPicPr>
        <xdr:cNvPr id="146116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4573905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95250</xdr:colOff>
      <xdr:row>1</xdr:row>
      <xdr:rowOff>38100</xdr:rowOff>
    </xdr:from>
    <xdr:to>
      <xdr:col>16</xdr:col>
      <xdr:colOff>285750</xdr:colOff>
      <xdr:row>1</xdr:row>
      <xdr:rowOff>276225</xdr:rowOff>
    </xdr:to>
    <xdr:pic macro="[0]!Activa_Final">
      <xdr:nvPicPr>
        <xdr:cNvPr id="146117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5753100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19</xdr:col>
      <xdr:colOff>66675</xdr:colOff>
      <xdr:row>8</xdr:row>
      <xdr:rowOff>142875</xdr:rowOff>
    </xdr:from>
    <xdr:to>
      <xdr:col>26</xdr:col>
      <xdr:colOff>295275</xdr:colOff>
      <xdr:row>28</xdr:row>
      <xdr:rowOff>95250</xdr:rowOff>
    </xdr:to>
    <xdr:pic macro="[0]!No_Hace_Nada">
      <xdr:nvPicPr>
        <xdr:cNvPr id="146118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7639050" y="22002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16</xdr:row>
          <xdr:rowOff>0</xdr:rowOff>
        </xdr:from>
        <xdr:to>
          <xdr:col>16</xdr:col>
          <xdr:colOff>0</xdr:colOff>
          <xdr:row>17</xdr:row>
          <xdr:rowOff>38100</xdr:rowOff>
        </xdr:to>
        <xdr:pic>
          <xdr:nvPicPr>
            <xdr:cNvPr id="8247" name="imgGG_C1"/>
            <xdr:cNvPicPr preferRelativeResize="0">
              <a:picLocks noChangeArrowheads="1"/>
              <a:extLst>
                <a:ext uri="{84589F7E-364E-4C9E-8A38-B11213B215E9}">
                  <a14:cameraTool cellRange="GG_C1" spid="_x0000_s826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038850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17</xdr:row>
          <xdr:rowOff>0</xdr:rowOff>
        </xdr:from>
        <xdr:to>
          <xdr:col>16</xdr:col>
          <xdr:colOff>0</xdr:colOff>
          <xdr:row>18</xdr:row>
          <xdr:rowOff>38100</xdr:rowOff>
        </xdr:to>
        <xdr:pic>
          <xdr:nvPicPr>
            <xdr:cNvPr id="8248" name="imgGG_C2"/>
            <xdr:cNvPicPr preferRelativeResize="0">
              <a:picLocks noChangeArrowheads="1"/>
              <a:extLst>
                <a:ext uri="{84589F7E-364E-4C9E-8A38-B11213B215E9}">
                  <a14:cameraTool cellRange="GG_C2" spid="_x0000_s8268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6038850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200025</xdr:colOff>
      <xdr:row>14</xdr:row>
      <xdr:rowOff>0</xdr:rowOff>
    </xdr:from>
    <xdr:to>
      <xdr:col>23</xdr:col>
      <xdr:colOff>171450</xdr:colOff>
      <xdr:row>20</xdr:row>
      <xdr:rowOff>133350</xdr:rowOff>
    </xdr:to>
    <xdr:pic macro="[0]!No_Hace_Nada">
      <xdr:nvPicPr>
        <xdr:cNvPr id="147107" name="imgGH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77175" y="3086100"/>
          <a:ext cx="1990725" cy="1104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5</xdr:row>
      <xdr:rowOff>9525</xdr:rowOff>
    </xdr:from>
    <xdr:to>
      <xdr:col>1</xdr:col>
      <xdr:colOff>190500</xdr:colOff>
      <xdr:row>6</xdr:row>
      <xdr:rowOff>0</xdr:rowOff>
    </xdr:to>
    <xdr:pic>
      <xdr:nvPicPr>
        <xdr:cNvPr id="147108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6</xdr:row>
      <xdr:rowOff>9525</xdr:rowOff>
    </xdr:from>
    <xdr:to>
      <xdr:col>1</xdr:col>
      <xdr:colOff>190500</xdr:colOff>
      <xdr:row>7</xdr:row>
      <xdr:rowOff>0</xdr:rowOff>
    </xdr:to>
    <xdr:pic>
      <xdr:nvPicPr>
        <xdr:cNvPr id="147109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809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7</xdr:row>
      <xdr:rowOff>9525</xdr:rowOff>
    </xdr:from>
    <xdr:to>
      <xdr:col>1</xdr:col>
      <xdr:colOff>190500</xdr:colOff>
      <xdr:row>8</xdr:row>
      <xdr:rowOff>0</xdr:rowOff>
    </xdr:to>
    <xdr:pic>
      <xdr:nvPicPr>
        <xdr:cNvPr id="14711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809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8</xdr:row>
      <xdr:rowOff>9525</xdr:rowOff>
    </xdr:from>
    <xdr:to>
      <xdr:col>1</xdr:col>
      <xdr:colOff>190500</xdr:colOff>
      <xdr:row>9</xdr:row>
      <xdr:rowOff>0</xdr:rowOff>
    </xdr:to>
    <xdr:pic>
      <xdr:nvPicPr>
        <xdr:cNvPr id="147111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9</xdr:row>
      <xdr:rowOff>9525</xdr:rowOff>
    </xdr:from>
    <xdr:to>
      <xdr:col>1</xdr:col>
      <xdr:colOff>190500</xdr:colOff>
      <xdr:row>10</xdr:row>
      <xdr:rowOff>0</xdr:rowOff>
    </xdr:to>
    <xdr:pic>
      <xdr:nvPicPr>
        <xdr:cNvPr id="147112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809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10</xdr:row>
      <xdr:rowOff>9525</xdr:rowOff>
    </xdr:from>
    <xdr:to>
      <xdr:col>1</xdr:col>
      <xdr:colOff>190500</xdr:colOff>
      <xdr:row>11</xdr:row>
      <xdr:rowOff>0</xdr:rowOff>
    </xdr:to>
    <xdr:pic>
      <xdr:nvPicPr>
        <xdr:cNvPr id="147113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809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5</xdr:row>
      <xdr:rowOff>9525</xdr:rowOff>
    </xdr:from>
    <xdr:to>
      <xdr:col>6</xdr:col>
      <xdr:colOff>0</xdr:colOff>
      <xdr:row>6</xdr:row>
      <xdr:rowOff>0</xdr:rowOff>
    </xdr:to>
    <xdr:pic>
      <xdr:nvPicPr>
        <xdr:cNvPr id="147114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495675" y="15525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6</xdr:row>
      <xdr:rowOff>9525</xdr:rowOff>
    </xdr:from>
    <xdr:to>
      <xdr:col>6</xdr:col>
      <xdr:colOff>0</xdr:colOff>
      <xdr:row>7</xdr:row>
      <xdr:rowOff>0</xdr:rowOff>
    </xdr:to>
    <xdr:pic>
      <xdr:nvPicPr>
        <xdr:cNvPr id="147115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3495675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7</xdr:row>
      <xdr:rowOff>9525</xdr:rowOff>
    </xdr:from>
    <xdr:to>
      <xdr:col>6</xdr:col>
      <xdr:colOff>0</xdr:colOff>
      <xdr:row>8</xdr:row>
      <xdr:rowOff>0</xdr:rowOff>
    </xdr:to>
    <xdr:pic>
      <xdr:nvPicPr>
        <xdr:cNvPr id="147116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495675" y="18954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8</xdr:row>
      <xdr:rowOff>9525</xdr:rowOff>
    </xdr:from>
    <xdr:to>
      <xdr:col>6</xdr:col>
      <xdr:colOff>0</xdr:colOff>
      <xdr:row>9</xdr:row>
      <xdr:rowOff>0</xdr:rowOff>
    </xdr:to>
    <xdr:pic>
      <xdr:nvPicPr>
        <xdr:cNvPr id="147117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3495675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9</xdr:row>
      <xdr:rowOff>9525</xdr:rowOff>
    </xdr:from>
    <xdr:to>
      <xdr:col>6</xdr:col>
      <xdr:colOff>0</xdr:colOff>
      <xdr:row>10</xdr:row>
      <xdr:rowOff>0</xdr:rowOff>
    </xdr:to>
    <xdr:pic>
      <xdr:nvPicPr>
        <xdr:cNvPr id="147118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3495675" y="223837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1257300</xdr:colOff>
      <xdr:row>10</xdr:row>
      <xdr:rowOff>9525</xdr:rowOff>
    </xdr:from>
    <xdr:to>
      <xdr:col>6</xdr:col>
      <xdr:colOff>0</xdr:colOff>
      <xdr:row>11</xdr:row>
      <xdr:rowOff>0</xdr:rowOff>
    </xdr:to>
    <xdr:pic>
      <xdr:nvPicPr>
        <xdr:cNvPr id="147119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3495675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6</xdr:row>
      <xdr:rowOff>9525</xdr:rowOff>
    </xdr:from>
    <xdr:to>
      <xdr:col>15</xdr:col>
      <xdr:colOff>190500</xdr:colOff>
      <xdr:row>7</xdr:row>
      <xdr:rowOff>0</xdr:rowOff>
    </xdr:to>
    <xdr:pic>
      <xdr:nvPicPr>
        <xdr:cNvPr id="14712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678180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6</xdr:row>
      <xdr:rowOff>9525</xdr:rowOff>
    </xdr:from>
    <xdr:to>
      <xdr:col>19</xdr:col>
      <xdr:colOff>0</xdr:colOff>
      <xdr:row>7</xdr:row>
      <xdr:rowOff>0</xdr:rowOff>
    </xdr:to>
    <xdr:pic>
      <xdr:nvPicPr>
        <xdr:cNvPr id="147121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8382000" y="17240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9525</xdr:rowOff>
    </xdr:from>
    <xdr:to>
      <xdr:col>15</xdr:col>
      <xdr:colOff>190500</xdr:colOff>
      <xdr:row>9</xdr:row>
      <xdr:rowOff>0</xdr:rowOff>
    </xdr:to>
    <xdr:pic>
      <xdr:nvPicPr>
        <xdr:cNvPr id="147122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678180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8</xdr:row>
      <xdr:rowOff>9525</xdr:rowOff>
    </xdr:from>
    <xdr:to>
      <xdr:col>19</xdr:col>
      <xdr:colOff>0</xdr:colOff>
      <xdr:row>9</xdr:row>
      <xdr:rowOff>0</xdr:rowOff>
    </xdr:to>
    <xdr:pic>
      <xdr:nvPicPr>
        <xdr:cNvPr id="147123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8382000" y="20669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9525</xdr:rowOff>
    </xdr:from>
    <xdr:to>
      <xdr:col>15</xdr:col>
      <xdr:colOff>190500</xdr:colOff>
      <xdr:row>11</xdr:row>
      <xdr:rowOff>0</xdr:rowOff>
    </xdr:to>
    <xdr:pic>
      <xdr:nvPicPr>
        <xdr:cNvPr id="147124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678180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10</xdr:row>
      <xdr:rowOff>9525</xdr:rowOff>
    </xdr:from>
    <xdr:to>
      <xdr:col>19</xdr:col>
      <xdr:colOff>0</xdr:colOff>
      <xdr:row>11</xdr:row>
      <xdr:rowOff>0</xdr:rowOff>
    </xdr:to>
    <xdr:pic>
      <xdr:nvPicPr>
        <xdr:cNvPr id="147125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8382000" y="24098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9525</xdr:rowOff>
    </xdr:from>
    <xdr:to>
      <xdr:col>15</xdr:col>
      <xdr:colOff>190500</xdr:colOff>
      <xdr:row>13</xdr:row>
      <xdr:rowOff>0</xdr:rowOff>
    </xdr:to>
    <xdr:pic>
      <xdr:nvPicPr>
        <xdr:cNvPr id="147126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678180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190500</xdr:colOff>
      <xdr:row>12</xdr:row>
      <xdr:rowOff>9525</xdr:rowOff>
    </xdr:from>
    <xdr:to>
      <xdr:col>19</xdr:col>
      <xdr:colOff>0</xdr:colOff>
      <xdr:row>13</xdr:row>
      <xdr:rowOff>0</xdr:rowOff>
    </xdr:to>
    <xdr:pic>
      <xdr:nvPicPr>
        <xdr:cNvPr id="147127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8382000" y="2752725"/>
          <a:ext cx="190500" cy="1619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114300</xdr:colOff>
      <xdr:row>1</xdr:row>
      <xdr:rowOff>200025</xdr:rowOff>
    </xdr:to>
    <xdr:pic macro="[0]!No_Hace_Nada">
      <xdr:nvPicPr>
        <xdr:cNvPr id="147128" name="imgGA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8210550" y="1047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7129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8097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274319</xdr:colOff>
      <xdr:row>1</xdr:row>
      <xdr:rowOff>38100</xdr:rowOff>
    </xdr:from>
    <xdr:to>
      <xdr:col>1</xdr:col>
      <xdr:colOff>531494</xdr:colOff>
      <xdr:row>1</xdr:row>
      <xdr:rowOff>276225</xdr:rowOff>
    </xdr:to>
    <xdr:pic macro="[0]!Activa_GrupoB">
      <xdr:nvPicPr>
        <xdr:cNvPr id="147130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45529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7131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72961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1097279</xdr:colOff>
      <xdr:row>1</xdr:row>
      <xdr:rowOff>38100</xdr:rowOff>
    </xdr:from>
    <xdr:to>
      <xdr:col>1</xdr:col>
      <xdr:colOff>1354454</xdr:colOff>
      <xdr:row>1</xdr:row>
      <xdr:rowOff>276225</xdr:rowOff>
    </xdr:to>
    <xdr:pic macro="[0]!Activa_GrupoE">
      <xdr:nvPicPr>
        <xdr:cNvPr id="147132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127825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1371599</xdr:colOff>
      <xdr:row>1</xdr:row>
      <xdr:rowOff>38100</xdr:rowOff>
    </xdr:from>
    <xdr:to>
      <xdr:col>2</xdr:col>
      <xdr:colOff>180974</xdr:colOff>
      <xdr:row>1</xdr:row>
      <xdr:rowOff>276225</xdr:rowOff>
    </xdr:to>
    <xdr:pic macro="[0]!Activa_GrupoF">
      <xdr:nvPicPr>
        <xdr:cNvPr id="147133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155257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198120</xdr:colOff>
      <xdr:row>1</xdr:row>
      <xdr:rowOff>38100</xdr:rowOff>
    </xdr:from>
    <xdr:to>
      <xdr:col>4</xdr:col>
      <xdr:colOff>93345</xdr:colOff>
      <xdr:row>1</xdr:row>
      <xdr:rowOff>276225</xdr:rowOff>
    </xdr:to>
    <xdr:pic macro="[0]!Activa_GrupoG">
      <xdr:nvPicPr>
        <xdr:cNvPr id="147134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182689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110490</xdr:colOff>
      <xdr:row>1</xdr:row>
      <xdr:rowOff>38100</xdr:rowOff>
    </xdr:from>
    <xdr:to>
      <xdr:col>5</xdr:col>
      <xdr:colOff>120015</xdr:colOff>
      <xdr:row>1</xdr:row>
      <xdr:rowOff>276225</xdr:rowOff>
    </xdr:to>
    <xdr:pic macro="[0]!Activa_GrupoH">
      <xdr:nvPicPr>
        <xdr:cNvPr id="147135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2101215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1356360</xdr:colOff>
      <xdr:row>1</xdr:row>
      <xdr:rowOff>38100</xdr:rowOff>
    </xdr:from>
    <xdr:to>
      <xdr:col>6</xdr:col>
      <xdr:colOff>937260</xdr:colOff>
      <xdr:row>1</xdr:row>
      <xdr:rowOff>276225</xdr:rowOff>
    </xdr:to>
    <xdr:pic macro="[0]!Activa_Cuartos">
      <xdr:nvPicPr>
        <xdr:cNvPr id="147136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3594735" y="676275"/>
          <a:ext cx="102870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954405</xdr:colOff>
      <xdr:row>1</xdr:row>
      <xdr:rowOff>38100</xdr:rowOff>
    </xdr:from>
    <xdr:to>
      <xdr:col>11</xdr:col>
      <xdr:colOff>78105</xdr:colOff>
      <xdr:row>1</xdr:row>
      <xdr:rowOff>276225</xdr:rowOff>
    </xdr:to>
    <xdr:pic macro="[0]!Activa_SemiFinal">
      <xdr:nvPicPr>
        <xdr:cNvPr id="147137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464058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95250</xdr:colOff>
      <xdr:row>1</xdr:row>
      <xdr:rowOff>38100</xdr:rowOff>
    </xdr:from>
    <xdr:to>
      <xdr:col>14</xdr:col>
      <xdr:colOff>47625</xdr:colOff>
      <xdr:row>1</xdr:row>
      <xdr:rowOff>276225</xdr:rowOff>
    </xdr:to>
    <xdr:pic macro="[0]!Activa_Final">
      <xdr:nvPicPr>
        <xdr:cNvPr id="147138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581977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1</xdr:col>
      <xdr:colOff>1080134</xdr:colOff>
      <xdr:row>1</xdr:row>
      <xdr:rowOff>276225</xdr:rowOff>
    </xdr:to>
    <xdr:pic macro="[0]!Activa_GrupoD">
      <xdr:nvPicPr>
        <xdr:cNvPr id="147139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003934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377190</xdr:colOff>
      <xdr:row>1</xdr:row>
      <xdr:rowOff>38100</xdr:rowOff>
    </xdr:from>
    <xdr:to>
      <xdr:col>5</xdr:col>
      <xdr:colOff>1339215</xdr:colOff>
      <xdr:row>1</xdr:row>
      <xdr:rowOff>276225</xdr:rowOff>
    </xdr:to>
    <xdr:pic macro="[0]!Activa_Octavos">
      <xdr:nvPicPr>
        <xdr:cNvPr id="14714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615565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16</xdr:row>
          <xdr:rowOff>0</xdr:rowOff>
        </xdr:from>
        <xdr:to>
          <xdr:col>16</xdr:col>
          <xdr:colOff>0</xdr:colOff>
          <xdr:row>17</xdr:row>
          <xdr:rowOff>38100</xdr:rowOff>
        </xdr:to>
        <xdr:pic>
          <xdr:nvPicPr>
            <xdr:cNvPr id="9271" name="imgGH_C1"/>
            <xdr:cNvPicPr preferRelativeResize="0">
              <a:picLocks noChangeArrowheads="1"/>
              <a:extLst>
                <a:ext uri="{84589F7E-364E-4C9E-8A38-B11213B215E9}">
                  <a14:cameraTool cellRange="GH_C1" spid="_x0000_s929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7038975" y="3409950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17</xdr:row>
          <xdr:rowOff>0</xdr:rowOff>
        </xdr:from>
        <xdr:to>
          <xdr:col>16</xdr:col>
          <xdr:colOff>0</xdr:colOff>
          <xdr:row>18</xdr:row>
          <xdr:rowOff>38100</xdr:rowOff>
        </xdr:to>
        <xdr:pic>
          <xdr:nvPicPr>
            <xdr:cNvPr id="9272" name="imgGH_C2"/>
            <xdr:cNvPicPr preferRelativeResize="0">
              <a:picLocks noChangeArrowheads="1"/>
              <a:extLst>
                <a:ext uri="{84589F7E-364E-4C9E-8A38-B11213B215E9}">
                  <a14:cameraTool cellRange="GH_C2" spid="_x0000_s929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7038975" y="3571875"/>
              <a:ext cx="314325" cy="2000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29994" name="Line 2"/>
        <xdr:cNvSpPr>
          <a:spLocks noChangeShapeType="1"/>
        </xdr:cNvSpPr>
      </xdr:nvSpPr>
      <xdr:spPr bwMode="auto">
        <a:xfrm>
          <a:off x="3914775" y="18859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29995" name="Line 3"/>
        <xdr:cNvSpPr>
          <a:spLocks noChangeShapeType="1"/>
        </xdr:cNvSpPr>
      </xdr:nvSpPr>
      <xdr:spPr bwMode="auto">
        <a:xfrm>
          <a:off x="3914775" y="25336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85725</xdr:rowOff>
    </xdr:from>
    <xdr:to>
      <xdr:col>8</xdr:col>
      <xdr:colOff>742950</xdr:colOff>
      <xdr:row>15</xdr:row>
      <xdr:rowOff>85725</xdr:rowOff>
    </xdr:to>
    <xdr:sp macro="" textlink="">
      <xdr:nvSpPr>
        <xdr:cNvPr id="129996" name="Line 4"/>
        <xdr:cNvSpPr>
          <a:spLocks noChangeShapeType="1"/>
        </xdr:cNvSpPr>
      </xdr:nvSpPr>
      <xdr:spPr bwMode="auto">
        <a:xfrm>
          <a:off x="3914775" y="31813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19</xdr:row>
      <xdr:rowOff>85725</xdr:rowOff>
    </xdr:from>
    <xdr:to>
      <xdr:col>8</xdr:col>
      <xdr:colOff>742950</xdr:colOff>
      <xdr:row>19</xdr:row>
      <xdr:rowOff>85725</xdr:rowOff>
    </xdr:to>
    <xdr:sp macro="" textlink="">
      <xdr:nvSpPr>
        <xdr:cNvPr id="129997" name="Line 5"/>
        <xdr:cNvSpPr>
          <a:spLocks noChangeShapeType="1"/>
        </xdr:cNvSpPr>
      </xdr:nvSpPr>
      <xdr:spPr bwMode="auto">
        <a:xfrm>
          <a:off x="3914775" y="38290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23</xdr:row>
      <xdr:rowOff>85725</xdr:rowOff>
    </xdr:from>
    <xdr:to>
      <xdr:col>8</xdr:col>
      <xdr:colOff>742950</xdr:colOff>
      <xdr:row>23</xdr:row>
      <xdr:rowOff>85725</xdr:rowOff>
    </xdr:to>
    <xdr:sp macro="" textlink="">
      <xdr:nvSpPr>
        <xdr:cNvPr id="129998" name="Line 6"/>
        <xdr:cNvSpPr>
          <a:spLocks noChangeShapeType="1"/>
        </xdr:cNvSpPr>
      </xdr:nvSpPr>
      <xdr:spPr bwMode="auto">
        <a:xfrm>
          <a:off x="3914775" y="44767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27</xdr:row>
      <xdr:rowOff>85725</xdr:rowOff>
    </xdr:from>
    <xdr:to>
      <xdr:col>8</xdr:col>
      <xdr:colOff>742950</xdr:colOff>
      <xdr:row>27</xdr:row>
      <xdr:rowOff>85725</xdr:rowOff>
    </xdr:to>
    <xdr:sp macro="" textlink="">
      <xdr:nvSpPr>
        <xdr:cNvPr id="129999" name="Line 7"/>
        <xdr:cNvSpPr>
          <a:spLocks noChangeShapeType="1"/>
        </xdr:cNvSpPr>
      </xdr:nvSpPr>
      <xdr:spPr bwMode="auto">
        <a:xfrm>
          <a:off x="3914775" y="51244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31</xdr:row>
      <xdr:rowOff>85725</xdr:rowOff>
    </xdr:from>
    <xdr:to>
      <xdr:col>8</xdr:col>
      <xdr:colOff>742950</xdr:colOff>
      <xdr:row>31</xdr:row>
      <xdr:rowOff>85725</xdr:rowOff>
    </xdr:to>
    <xdr:sp macro="" textlink="">
      <xdr:nvSpPr>
        <xdr:cNvPr id="130000" name="Line 8"/>
        <xdr:cNvSpPr>
          <a:spLocks noChangeShapeType="1"/>
        </xdr:cNvSpPr>
      </xdr:nvSpPr>
      <xdr:spPr bwMode="auto">
        <a:xfrm>
          <a:off x="3914775" y="57721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35</xdr:row>
      <xdr:rowOff>85725</xdr:rowOff>
    </xdr:from>
    <xdr:to>
      <xdr:col>8</xdr:col>
      <xdr:colOff>742950</xdr:colOff>
      <xdr:row>35</xdr:row>
      <xdr:rowOff>85725</xdr:rowOff>
    </xdr:to>
    <xdr:sp macro="" textlink="">
      <xdr:nvSpPr>
        <xdr:cNvPr id="130001" name="Line 10"/>
        <xdr:cNvSpPr>
          <a:spLocks noChangeShapeType="1"/>
        </xdr:cNvSpPr>
      </xdr:nvSpPr>
      <xdr:spPr bwMode="auto">
        <a:xfrm>
          <a:off x="3914775" y="64198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000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000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000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000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000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000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000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000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7</xdr:col>
      <xdr:colOff>43815</xdr:colOff>
      <xdr:row>1</xdr:row>
      <xdr:rowOff>276225</xdr:rowOff>
    </xdr:to>
    <xdr:pic macro="[0]!Activa_Octavos">
      <xdr:nvPicPr>
        <xdr:cNvPr id="13001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60960</xdr:colOff>
      <xdr:row>1</xdr:row>
      <xdr:rowOff>38100</xdr:rowOff>
    </xdr:from>
    <xdr:to>
      <xdr:col>8</xdr:col>
      <xdr:colOff>575310</xdr:colOff>
      <xdr:row>1</xdr:row>
      <xdr:rowOff>276225</xdr:rowOff>
    </xdr:to>
    <xdr:pic macro="[0]!Activa_Cuartos">
      <xdr:nvPicPr>
        <xdr:cNvPr id="13001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592455</xdr:colOff>
      <xdr:row>1</xdr:row>
      <xdr:rowOff>38100</xdr:rowOff>
    </xdr:from>
    <xdr:to>
      <xdr:col>9</xdr:col>
      <xdr:colOff>973455</xdr:colOff>
      <xdr:row>1</xdr:row>
      <xdr:rowOff>276225</xdr:rowOff>
    </xdr:to>
    <xdr:pic macro="[0]!Activa_SemiFinal">
      <xdr:nvPicPr>
        <xdr:cNvPr id="13001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990600</xdr:colOff>
      <xdr:row>1</xdr:row>
      <xdr:rowOff>38100</xdr:rowOff>
    </xdr:from>
    <xdr:to>
      <xdr:col>11</xdr:col>
      <xdr:colOff>447675</xdr:colOff>
      <xdr:row>1</xdr:row>
      <xdr:rowOff>276225</xdr:rowOff>
    </xdr:to>
    <xdr:pic macro="[0]!Activa_Final">
      <xdr:nvPicPr>
        <xdr:cNvPr id="13001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323850</xdr:colOff>
      <xdr:row>0</xdr:row>
      <xdr:rowOff>133350</xdr:rowOff>
    </xdr:from>
    <xdr:to>
      <xdr:col>15</xdr:col>
      <xdr:colOff>266700</xdr:colOff>
      <xdr:row>1</xdr:row>
      <xdr:rowOff>228600</xdr:rowOff>
    </xdr:to>
    <xdr:pic macro="[0]!No_Hace_Nada">
      <xdr:nvPicPr>
        <xdr:cNvPr id="130014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524750" y="133350"/>
          <a:ext cx="72390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123825</xdr:colOff>
      <xdr:row>7</xdr:row>
      <xdr:rowOff>47625</xdr:rowOff>
    </xdr:from>
    <xdr:to>
      <xdr:col>16</xdr:col>
      <xdr:colOff>47625</xdr:colOff>
      <xdr:row>25</xdr:row>
      <xdr:rowOff>9525</xdr:rowOff>
    </xdr:to>
    <xdr:pic macro="[0]!No_Hace_Nada">
      <xdr:nvPicPr>
        <xdr:cNvPr id="130015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248400" y="18478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48757" name="Line 2"/>
        <xdr:cNvSpPr>
          <a:spLocks noChangeShapeType="1"/>
        </xdr:cNvSpPr>
      </xdr:nvSpPr>
      <xdr:spPr bwMode="auto">
        <a:xfrm>
          <a:off x="4114800" y="186690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48758" name="Line 3"/>
        <xdr:cNvSpPr>
          <a:spLocks noChangeShapeType="1"/>
        </xdr:cNvSpPr>
      </xdr:nvSpPr>
      <xdr:spPr bwMode="auto">
        <a:xfrm>
          <a:off x="4114800" y="25717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85725</xdr:rowOff>
    </xdr:from>
    <xdr:to>
      <xdr:col>8</xdr:col>
      <xdr:colOff>742950</xdr:colOff>
      <xdr:row>15</xdr:row>
      <xdr:rowOff>85725</xdr:rowOff>
    </xdr:to>
    <xdr:sp macro="" textlink="">
      <xdr:nvSpPr>
        <xdr:cNvPr id="148759" name="Line 4"/>
        <xdr:cNvSpPr>
          <a:spLocks noChangeShapeType="1"/>
        </xdr:cNvSpPr>
      </xdr:nvSpPr>
      <xdr:spPr bwMode="auto">
        <a:xfrm>
          <a:off x="4114800" y="327660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19</xdr:row>
      <xdr:rowOff>85725</xdr:rowOff>
    </xdr:from>
    <xdr:to>
      <xdr:col>8</xdr:col>
      <xdr:colOff>742950</xdr:colOff>
      <xdr:row>19</xdr:row>
      <xdr:rowOff>85725</xdr:rowOff>
    </xdr:to>
    <xdr:sp macro="" textlink="">
      <xdr:nvSpPr>
        <xdr:cNvPr id="148760" name="Line 5"/>
        <xdr:cNvSpPr>
          <a:spLocks noChangeShapeType="1"/>
        </xdr:cNvSpPr>
      </xdr:nvSpPr>
      <xdr:spPr bwMode="auto">
        <a:xfrm>
          <a:off x="4114800" y="3981450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742950</xdr:colOff>
      <xdr:row>22</xdr:row>
      <xdr:rowOff>0</xdr:rowOff>
    </xdr:to>
    <xdr:sp macro="" textlink="">
      <xdr:nvSpPr>
        <xdr:cNvPr id="148761" name="Line 6"/>
        <xdr:cNvSpPr>
          <a:spLocks noChangeShapeType="1"/>
        </xdr:cNvSpPr>
      </xdr:nvSpPr>
      <xdr:spPr bwMode="auto">
        <a:xfrm>
          <a:off x="4114800" y="442912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48762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48763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48764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48765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48766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48767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48768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48769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5</xdr:col>
      <xdr:colOff>205740</xdr:colOff>
      <xdr:row>1</xdr:row>
      <xdr:rowOff>276225</xdr:rowOff>
    </xdr:to>
    <xdr:pic macro="[0]!Activa_Octavos">
      <xdr:nvPicPr>
        <xdr:cNvPr id="148770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222885</xdr:colOff>
      <xdr:row>1</xdr:row>
      <xdr:rowOff>38100</xdr:rowOff>
    </xdr:from>
    <xdr:to>
      <xdr:col>8</xdr:col>
      <xdr:colOff>375285</xdr:colOff>
      <xdr:row>1</xdr:row>
      <xdr:rowOff>276225</xdr:rowOff>
    </xdr:to>
    <xdr:pic macro="[0]!Activa_Cuartos">
      <xdr:nvPicPr>
        <xdr:cNvPr id="148771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392430</xdr:colOff>
      <xdr:row>1</xdr:row>
      <xdr:rowOff>38100</xdr:rowOff>
    </xdr:from>
    <xdr:to>
      <xdr:col>9</xdr:col>
      <xdr:colOff>773430</xdr:colOff>
      <xdr:row>1</xdr:row>
      <xdr:rowOff>276225</xdr:rowOff>
    </xdr:to>
    <xdr:pic macro="[0]!Activa_SemiFinal">
      <xdr:nvPicPr>
        <xdr:cNvPr id="148772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790575</xdr:colOff>
      <xdr:row>1</xdr:row>
      <xdr:rowOff>38100</xdr:rowOff>
    </xdr:from>
    <xdr:to>
      <xdr:col>11</xdr:col>
      <xdr:colOff>381000</xdr:colOff>
      <xdr:row>1</xdr:row>
      <xdr:rowOff>276225</xdr:rowOff>
    </xdr:to>
    <xdr:pic macro="[0]!Activa_Final">
      <xdr:nvPicPr>
        <xdr:cNvPr id="148773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438150</xdr:colOff>
      <xdr:row>0</xdr:row>
      <xdr:rowOff>152400</xdr:rowOff>
    </xdr:from>
    <xdr:to>
      <xdr:col>15</xdr:col>
      <xdr:colOff>247650</xdr:colOff>
      <xdr:row>1</xdr:row>
      <xdr:rowOff>247650</xdr:rowOff>
    </xdr:to>
    <xdr:pic macro="[0]!No_Hace_Nada">
      <xdr:nvPicPr>
        <xdr:cNvPr id="148774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7639050" y="152400"/>
          <a:ext cx="590550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57150</xdr:colOff>
      <xdr:row>5</xdr:row>
      <xdr:rowOff>133350</xdr:rowOff>
    </xdr:from>
    <xdr:to>
      <xdr:col>15</xdr:col>
      <xdr:colOff>428625</xdr:colOff>
      <xdr:row>24</xdr:row>
      <xdr:rowOff>19050</xdr:rowOff>
    </xdr:to>
    <xdr:pic macro="[0]!No_Hace_Nada">
      <xdr:nvPicPr>
        <xdr:cNvPr id="148775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248400" y="15906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7</xdr:row>
      <xdr:rowOff>85725</xdr:rowOff>
    </xdr:from>
    <xdr:to>
      <xdr:col>8</xdr:col>
      <xdr:colOff>742950</xdr:colOff>
      <xdr:row>7</xdr:row>
      <xdr:rowOff>85725</xdr:rowOff>
    </xdr:to>
    <xdr:sp macro="" textlink="">
      <xdr:nvSpPr>
        <xdr:cNvPr id="134752" name="Line 2"/>
        <xdr:cNvSpPr>
          <a:spLocks noChangeShapeType="1"/>
        </xdr:cNvSpPr>
      </xdr:nvSpPr>
      <xdr:spPr bwMode="auto">
        <a:xfrm>
          <a:off x="4314825" y="221932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11</xdr:row>
      <xdr:rowOff>85725</xdr:rowOff>
    </xdr:from>
    <xdr:to>
      <xdr:col>8</xdr:col>
      <xdr:colOff>742950</xdr:colOff>
      <xdr:row>11</xdr:row>
      <xdr:rowOff>85725</xdr:rowOff>
    </xdr:to>
    <xdr:sp macro="" textlink="">
      <xdr:nvSpPr>
        <xdr:cNvPr id="134753" name="Line 3"/>
        <xdr:cNvSpPr>
          <a:spLocks noChangeShapeType="1"/>
        </xdr:cNvSpPr>
      </xdr:nvSpPr>
      <xdr:spPr bwMode="auto">
        <a:xfrm>
          <a:off x="4314825" y="3190875"/>
          <a:ext cx="742950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4754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4755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4756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4757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4758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4759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4760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4761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5</xdr:col>
      <xdr:colOff>5715</xdr:colOff>
      <xdr:row>1</xdr:row>
      <xdr:rowOff>276225</xdr:rowOff>
    </xdr:to>
    <xdr:pic macro="[0]!Activa_Octavos">
      <xdr:nvPicPr>
        <xdr:cNvPr id="134762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22860</xdr:colOff>
      <xdr:row>1</xdr:row>
      <xdr:rowOff>38100</xdr:rowOff>
    </xdr:from>
    <xdr:to>
      <xdr:col>8</xdr:col>
      <xdr:colOff>175260</xdr:colOff>
      <xdr:row>1</xdr:row>
      <xdr:rowOff>276225</xdr:rowOff>
    </xdr:to>
    <xdr:pic macro="[0]!Activa_Cuartos">
      <xdr:nvPicPr>
        <xdr:cNvPr id="134763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192405</xdr:colOff>
      <xdr:row>1</xdr:row>
      <xdr:rowOff>38100</xdr:rowOff>
    </xdr:from>
    <xdr:to>
      <xdr:col>9</xdr:col>
      <xdr:colOff>573405</xdr:colOff>
      <xdr:row>1</xdr:row>
      <xdr:rowOff>276225</xdr:rowOff>
    </xdr:to>
    <xdr:pic macro="[0]!Activa_SemiFinal">
      <xdr:nvPicPr>
        <xdr:cNvPr id="134764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590550</xdr:colOff>
      <xdr:row>1</xdr:row>
      <xdr:rowOff>38100</xdr:rowOff>
    </xdr:from>
    <xdr:to>
      <xdr:col>10</xdr:col>
      <xdr:colOff>238125</xdr:colOff>
      <xdr:row>1</xdr:row>
      <xdr:rowOff>276225</xdr:rowOff>
    </xdr:to>
    <xdr:pic macro="[0]!Activa_Final">
      <xdr:nvPicPr>
        <xdr:cNvPr id="134765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285750</xdr:colOff>
      <xdr:row>0</xdr:row>
      <xdr:rowOff>152400</xdr:rowOff>
    </xdr:from>
    <xdr:to>
      <xdr:col>15</xdr:col>
      <xdr:colOff>161925</xdr:colOff>
      <xdr:row>1</xdr:row>
      <xdr:rowOff>247650</xdr:rowOff>
    </xdr:to>
    <xdr:pic macro="[0]!No_Hace_Nada">
      <xdr:nvPicPr>
        <xdr:cNvPr id="134766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8477250" y="152400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171450</xdr:colOff>
      <xdr:row>5</xdr:row>
      <xdr:rowOff>190500</xdr:rowOff>
    </xdr:from>
    <xdr:to>
      <xdr:col>14</xdr:col>
      <xdr:colOff>723900</xdr:colOff>
      <xdr:row>19</xdr:row>
      <xdr:rowOff>38100</xdr:rowOff>
    </xdr:to>
    <xdr:pic macro="[0]!No_Hace_Nada">
      <xdr:nvPicPr>
        <xdr:cNvPr id="134767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6753225" y="1733550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</xdr:row>
      <xdr:rowOff>85725</xdr:rowOff>
    </xdr:from>
    <xdr:to>
      <xdr:col>8</xdr:col>
      <xdr:colOff>638175</xdr:colOff>
      <xdr:row>8</xdr:row>
      <xdr:rowOff>85725</xdr:rowOff>
    </xdr:to>
    <xdr:sp macro="" textlink="">
      <xdr:nvSpPr>
        <xdr:cNvPr id="133729" name="Line 2"/>
        <xdr:cNvSpPr>
          <a:spLocks noChangeShapeType="1"/>
        </xdr:cNvSpPr>
      </xdr:nvSpPr>
      <xdr:spPr bwMode="auto">
        <a:xfrm>
          <a:off x="4514850" y="1971675"/>
          <a:ext cx="638175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>
    <xdr:from>
      <xdr:col>8</xdr:col>
      <xdr:colOff>0</xdr:colOff>
      <xdr:row>15</xdr:row>
      <xdr:rowOff>114300</xdr:rowOff>
    </xdr:from>
    <xdr:to>
      <xdr:col>8</xdr:col>
      <xdr:colOff>676275</xdr:colOff>
      <xdr:row>15</xdr:row>
      <xdr:rowOff>114300</xdr:rowOff>
    </xdr:to>
    <xdr:sp macro="" textlink="">
      <xdr:nvSpPr>
        <xdr:cNvPr id="133730" name="Line 3"/>
        <xdr:cNvSpPr>
          <a:spLocks noChangeShapeType="1"/>
        </xdr:cNvSpPr>
      </xdr:nvSpPr>
      <xdr:spPr bwMode="auto">
        <a:xfrm>
          <a:off x="4514850" y="3467100"/>
          <a:ext cx="676275" cy="0"/>
        </a:xfrm>
        <a:prstGeom prst="line">
          <a:avLst/>
        </a:prstGeom>
        <a:noFill/>
        <a:ln w="9525">
          <a:solidFill>
            <a:srgbClr val="FF9900"/>
          </a:solidFill>
          <a:round/>
          <a:headEnd/>
          <a:tailEnd type="triangle" w="med" len="sm"/>
        </a:ln>
      </xdr:spPr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1</xdr:col>
      <xdr:colOff>257175</xdr:colOff>
      <xdr:row>1</xdr:row>
      <xdr:rowOff>276225</xdr:rowOff>
    </xdr:to>
    <xdr:pic macro="[0]!Activa_GrupoA">
      <xdr:nvPicPr>
        <xdr:cNvPr id="133731" name="cmdGrp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430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274320</xdr:colOff>
      <xdr:row>1</xdr:row>
      <xdr:rowOff>38100</xdr:rowOff>
    </xdr:from>
    <xdr:to>
      <xdr:col>1</xdr:col>
      <xdr:colOff>531495</xdr:colOff>
      <xdr:row>1</xdr:row>
      <xdr:rowOff>276225</xdr:rowOff>
    </xdr:to>
    <xdr:pic macro="[0]!Activa_GrupoB">
      <xdr:nvPicPr>
        <xdr:cNvPr id="133732" name="cmdGrpB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86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548639</xdr:colOff>
      <xdr:row>1</xdr:row>
      <xdr:rowOff>38100</xdr:rowOff>
    </xdr:from>
    <xdr:to>
      <xdr:col>1</xdr:col>
      <xdr:colOff>805814</xdr:colOff>
      <xdr:row>1</xdr:row>
      <xdr:rowOff>276225</xdr:rowOff>
    </xdr:to>
    <xdr:pic macro="[0]!Activa_GrupoC">
      <xdr:nvPicPr>
        <xdr:cNvPr id="133733" name="cmdGrpC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6293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822959</xdr:colOff>
      <xdr:row>1</xdr:row>
      <xdr:rowOff>38100</xdr:rowOff>
    </xdr:from>
    <xdr:to>
      <xdr:col>2</xdr:col>
      <xdr:colOff>99059</xdr:colOff>
      <xdr:row>1</xdr:row>
      <xdr:rowOff>276225</xdr:rowOff>
    </xdr:to>
    <xdr:pic macro="[0]!Activa_GrupoD">
      <xdr:nvPicPr>
        <xdr:cNvPr id="133734" name="cmdGrp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3725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116204</xdr:colOff>
      <xdr:row>1</xdr:row>
      <xdr:rowOff>38100</xdr:rowOff>
    </xdr:from>
    <xdr:to>
      <xdr:col>2</xdr:col>
      <xdr:colOff>373379</xdr:colOff>
      <xdr:row>1</xdr:row>
      <xdr:rowOff>276225</xdr:rowOff>
    </xdr:to>
    <xdr:pic macro="[0]!Activa_GrupoE">
      <xdr:nvPicPr>
        <xdr:cNvPr id="133735" name="cmdGrpE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121157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390524</xdr:colOff>
      <xdr:row>1</xdr:row>
      <xdr:rowOff>38100</xdr:rowOff>
    </xdr:from>
    <xdr:to>
      <xdr:col>3</xdr:col>
      <xdr:colOff>200024</xdr:colOff>
      <xdr:row>1</xdr:row>
      <xdr:rowOff>276225</xdr:rowOff>
    </xdr:to>
    <xdr:pic macro="[0]!Activa_GrupoF">
      <xdr:nvPicPr>
        <xdr:cNvPr id="133736" name="cmdGrpF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1485899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3</xdr:col>
      <xdr:colOff>217170</xdr:colOff>
      <xdr:row>1</xdr:row>
      <xdr:rowOff>38100</xdr:rowOff>
    </xdr:from>
    <xdr:to>
      <xdr:col>4</xdr:col>
      <xdr:colOff>26670</xdr:colOff>
      <xdr:row>1</xdr:row>
      <xdr:rowOff>276225</xdr:rowOff>
    </xdr:to>
    <xdr:pic macro="[0]!Activa_GrupoG">
      <xdr:nvPicPr>
        <xdr:cNvPr id="133737" name="cmdGrpG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176022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43815</xdr:colOff>
      <xdr:row>1</xdr:row>
      <xdr:rowOff>38100</xdr:rowOff>
    </xdr:from>
    <xdr:to>
      <xdr:col>4</xdr:col>
      <xdr:colOff>300990</xdr:colOff>
      <xdr:row>1</xdr:row>
      <xdr:rowOff>276225</xdr:rowOff>
    </xdr:to>
    <xdr:pic macro="[0]!Activa_GrupoH">
      <xdr:nvPicPr>
        <xdr:cNvPr id="133738" name="cmdGrpH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034540" y="676275"/>
          <a:ext cx="25717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558165</xdr:colOff>
      <xdr:row>1</xdr:row>
      <xdr:rowOff>38100</xdr:rowOff>
    </xdr:from>
    <xdr:to>
      <xdr:col>4</xdr:col>
      <xdr:colOff>1520190</xdr:colOff>
      <xdr:row>1</xdr:row>
      <xdr:rowOff>276225</xdr:rowOff>
    </xdr:to>
    <xdr:pic macro="[0]!Activa_Octavos">
      <xdr:nvPicPr>
        <xdr:cNvPr id="133739" name="cmdGrpOF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254889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1537335</xdr:colOff>
      <xdr:row>1</xdr:row>
      <xdr:rowOff>38100</xdr:rowOff>
    </xdr:from>
    <xdr:to>
      <xdr:col>7</xdr:col>
      <xdr:colOff>422910</xdr:colOff>
      <xdr:row>1</xdr:row>
      <xdr:rowOff>276225</xdr:rowOff>
    </xdr:to>
    <xdr:pic macro="[0]!Activa_Cuartos">
      <xdr:nvPicPr>
        <xdr:cNvPr id="133740" name="cmdGrpCF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3528060" y="676275"/>
          <a:ext cx="9620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440055</xdr:colOff>
      <xdr:row>1</xdr:row>
      <xdr:rowOff>38100</xdr:rowOff>
    </xdr:from>
    <xdr:to>
      <xdr:col>9</xdr:col>
      <xdr:colOff>373380</xdr:colOff>
      <xdr:row>1</xdr:row>
      <xdr:rowOff>276225</xdr:rowOff>
    </xdr:to>
    <xdr:pic macro="[0]!Activa_SemiFinal">
      <xdr:nvPicPr>
        <xdr:cNvPr id="133741" name="cmdGrpSF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4507230" y="676275"/>
          <a:ext cx="1162050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390525</xdr:colOff>
      <xdr:row>1</xdr:row>
      <xdr:rowOff>38100</xdr:rowOff>
    </xdr:from>
    <xdr:to>
      <xdr:col>9</xdr:col>
      <xdr:colOff>1276350</xdr:colOff>
      <xdr:row>1</xdr:row>
      <xdr:rowOff>276225</xdr:rowOff>
    </xdr:to>
    <xdr:pic macro="[0]!Activa_Final">
      <xdr:nvPicPr>
        <xdr:cNvPr id="133742" name="cmdGrpFinal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5686425" y="676275"/>
          <a:ext cx="88582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333375</xdr:colOff>
      <xdr:row>0</xdr:row>
      <xdr:rowOff>142875</xdr:rowOff>
    </xdr:from>
    <xdr:to>
      <xdr:col>15</xdr:col>
      <xdr:colOff>209550</xdr:colOff>
      <xdr:row>1</xdr:row>
      <xdr:rowOff>238125</xdr:rowOff>
    </xdr:to>
    <xdr:pic macro="[0]!No_Hace_Nada">
      <xdr:nvPicPr>
        <xdr:cNvPr id="133743" name="imgGA2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9001125" y="142875"/>
          <a:ext cx="657225" cy="7334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28575</xdr:colOff>
      <xdr:row>13</xdr:row>
      <xdr:rowOff>114300</xdr:rowOff>
    </xdr:from>
    <xdr:to>
      <xdr:col>15</xdr:col>
      <xdr:colOff>314325</xdr:colOff>
      <xdr:row>30</xdr:row>
      <xdr:rowOff>133350</xdr:rowOff>
    </xdr:to>
    <xdr:pic macro="[0]!No_Hace_Nada">
      <xdr:nvPicPr>
        <xdr:cNvPr id="133744" name="Picture 777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7924800" y="3038475"/>
          <a:ext cx="2162175" cy="28575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733425</xdr:colOff>
          <xdr:row>13</xdr:row>
          <xdr:rowOff>0</xdr:rowOff>
        </xdr:from>
        <xdr:to>
          <xdr:col>9</xdr:col>
          <xdr:colOff>1047750</xdr:colOff>
          <xdr:row>14</xdr:row>
          <xdr:rowOff>0</xdr:rowOff>
        </xdr:to>
        <xdr:pic>
          <xdr:nvPicPr>
            <xdr:cNvPr id="10268" name="imgGH_C1"/>
            <xdr:cNvPicPr preferRelativeResize="0">
              <a:picLocks noChangeAspect="1" noChangeArrowheads="1"/>
              <a:extLst>
                <a:ext uri="{84589F7E-364E-4C9E-8A38-B11213B215E9}">
                  <a14:cameraTool cellRange="FN_Campeon" spid="_x0000_s1027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6029325" y="2924175"/>
              <a:ext cx="314325" cy="2000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12</xdr:row>
      <xdr:rowOff>0</xdr:rowOff>
    </xdr:from>
    <xdr:to>
      <xdr:col>16</xdr:col>
      <xdr:colOff>0</xdr:colOff>
      <xdr:row>13</xdr:row>
      <xdr:rowOff>0</xdr:rowOff>
    </xdr:to>
    <xdr:pic>
      <xdr:nvPicPr>
        <xdr:cNvPr id="151944" name="Uruguay"/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print">
          <a:lum contrast="40000"/>
        </a:blip>
        <a:srcRect/>
        <a:stretch>
          <a:fillRect/>
        </a:stretch>
      </xdr:blipFill>
      <xdr:spPr bwMode="auto">
        <a:xfrm>
          <a:off x="13182600" y="24003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12</xdr:row>
      <xdr:rowOff>209550</xdr:rowOff>
    </xdr:from>
    <xdr:to>
      <xdr:col>16</xdr:col>
      <xdr:colOff>0</xdr:colOff>
      <xdr:row>14</xdr:row>
      <xdr:rowOff>0</xdr:rowOff>
    </xdr:to>
    <xdr:pic>
      <xdr:nvPicPr>
        <xdr:cNvPr id="151945" name="Inglaterra"/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lum contrast="40000"/>
        </a:blip>
        <a:srcRect/>
        <a:stretch>
          <a:fillRect/>
        </a:stretch>
      </xdr:blipFill>
      <xdr:spPr bwMode="auto">
        <a:xfrm>
          <a:off x="13182600" y="26003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14</xdr:row>
      <xdr:rowOff>0</xdr:rowOff>
    </xdr:from>
    <xdr:to>
      <xdr:col>16</xdr:col>
      <xdr:colOff>0</xdr:colOff>
      <xdr:row>15</xdr:row>
      <xdr:rowOff>0</xdr:rowOff>
    </xdr:to>
    <xdr:pic>
      <xdr:nvPicPr>
        <xdr:cNvPr id="151946" name="CostaRica"/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lum contrast="40000"/>
        </a:blip>
        <a:srcRect/>
        <a:stretch>
          <a:fillRect/>
        </a:stretch>
      </xdr:blipFill>
      <xdr:spPr bwMode="auto">
        <a:xfrm>
          <a:off x="13182600" y="28003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16</xdr:col>
      <xdr:colOff>0</xdr:colOff>
      <xdr:row>16</xdr:row>
      <xdr:rowOff>0</xdr:rowOff>
    </xdr:to>
    <xdr:pic>
      <xdr:nvPicPr>
        <xdr:cNvPr id="151947" name="Italia"/>
        <xdr:cNvPicPr preferRelativeResize="0">
          <a:picLocks noChangeArrowheads="1"/>
        </xdr:cNvPicPr>
      </xdr:nvPicPr>
      <xdr:blipFill>
        <a:blip xmlns:r="http://schemas.openxmlformats.org/officeDocument/2006/relationships" r:embed="rId4" cstate="print">
          <a:lum contrast="40000"/>
        </a:blip>
        <a:srcRect/>
        <a:stretch>
          <a:fillRect/>
        </a:stretch>
      </xdr:blipFill>
      <xdr:spPr bwMode="auto">
        <a:xfrm>
          <a:off x="13182600" y="30003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16</xdr:row>
      <xdr:rowOff>0</xdr:rowOff>
    </xdr:from>
    <xdr:to>
      <xdr:col>16</xdr:col>
      <xdr:colOff>0</xdr:colOff>
      <xdr:row>17</xdr:row>
      <xdr:rowOff>0</xdr:rowOff>
    </xdr:to>
    <xdr:pic>
      <xdr:nvPicPr>
        <xdr:cNvPr id="151948" name="Suiza"/>
        <xdr:cNvPicPr preferRelativeResize="0">
          <a:picLocks noChangeArrowheads="1"/>
        </xdr:cNvPicPr>
      </xdr:nvPicPr>
      <xdr:blipFill>
        <a:blip xmlns:r="http://schemas.openxmlformats.org/officeDocument/2006/relationships" r:embed="rId5" cstate="print">
          <a:lum contrast="40000"/>
        </a:blip>
        <a:srcRect/>
        <a:stretch>
          <a:fillRect/>
        </a:stretch>
      </xdr:blipFill>
      <xdr:spPr bwMode="auto">
        <a:xfrm>
          <a:off x="13182600" y="32004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17</xdr:row>
      <xdr:rowOff>0</xdr:rowOff>
    </xdr:from>
    <xdr:to>
      <xdr:col>16</xdr:col>
      <xdr:colOff>0</xdr:colOff>
      <xdr:row>18</xdr:row>
      <xdr:rowOff>0</xdr:rowOff>
    </xdr:to>
    <xdr:pic>
      <xdr:nvPicPr>
        <xdr:cNvPr id="151949" name="Ecuador"/>
        <xdr:cNvPicPr preferRelativeResize="0">
          <a:picLocks noChangeArrowheads="1"/>
        </xdr:cNvPicPr>
      </xdr:nvPicPr>
      <xdr:blipFill>
        <a:blip xmlns:r="http://schemas.openxmlformats.org/officeDocument/2006/relationships" r:embed="rId6" cstate="print">
          <a:lum contrast="40000"/>
        </a:blip>
        <a:srcRect/>
        <a:stretch>
          <a:fillRect/>
        </a:stretch>
      </xdr:blipFill>
      <xdr:spPr bwMode="auto">
        <a:xfrm>
          <a:off x="13182600" y="34004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16</xdr:col>
      <xdr:colOff>0</xdr:colOff>
      <xdr:row>19</xdr:row>
      <xdr:rowOff>0</xdr:rowOff>
    </xdr:to>
    <xdr:pic>
      <xdr:nvPicPr>
        <xdr:cNvPr id="151950" name="Honduras"/>
        <xdr:cNvPicPr preferRelativeResize="0">
          <a:picLocks noChangeArrowheads="1"/>
        </xdr:cNvPicPr>
      </xdr:nvPicPr>
      <xdr:blipFill>
        <a:blip xmlns:r="http://schemas.openxmlformats.org/officeDocument/2006/relationships" r:embed="rId7" cstate="print">
          <a:lum contrast="40000"/>
        </a:blip>
        <a:srcRect/>
        <a:stretch>
          <a:fillRect/>
        </a:stretch>
      </xdr:blipFill>
      <xdr:spPr bwMode="auto">
        <a:xfrm>
          <a:off x="13182600" y="36004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51951" name="Francia"/>
        <xdr:cNvPicPr preferRelativeResize="0">
          <a:picLocks noChangeArrowheads="1"/>
        </xdr:cNvPicPr>
      </xdr:nvPicPr>
      <xdr:blipFill>
        <a:blip xmlns:r="http://schemas.openxmlformats.org/officeDocument/2006/relationships" r:embed="rId8" cstate="print">
          <a:lum contrast="40000"/>
        </a:blip>
        <a:srcRect/>
        <a:stretch>
          <a:fillRect/>
        </a:stretch>
      </xdr:blipFill>
      <xdr:spPr bwMode="auto">
        <a:xfrm>
          <a:off x="13182600" y="38004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20</xdr:row>
      <xdr:rowOff>0</xdr:rowOff>
    </xdr:from>
    <xdr:to>
      <xdr:col>16</xdr:col>
      <xdr:colOff>0</xdr:colOff>
      <xdr:row>21</xdr:row>
      <xdr:rowOff>0</xdr:rowOff>
    </xdr:to>
    <xdr:pic>
      <xdr:nvPicPr>
        <xdr:cNvPr id="151952" name="Argentina"/>
        <xdr:cNvPicPr preferRelativeResize="0">
          <a:picLocks noChangeArrowheads="1"/>
        </xdr:cNvPicPr>
      </xdr:nvPicPr>
      <xdr:blipFill>
        <a:blip xmlns:r="http://schemas.openxmlformats.org/officeDocument/2006/relationships" r:embed="rId9" cstate="print">
          <a:lum contrast="40000"/>
        </a:blip>
        <a:srcRect/>
        <a:stretch>
          <a:fillRect/>
        </a:stretch>
      </xdr:blipFill>
      <xdr:spPr bwMode="auto">
        <a:xfrm>
          <a:off x="13182600" y="40005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20</xdr:row>
      <xdr:rowOff>209550</xdr:rowOff>
    </xdr:from>
    <xdr:to>
      <xdr:col>16</xdr:col>
      <xdr:colOff>0</xdr:colOff>
      <xdr:row>22</xdr:row>
      <xdr:rowOff>0</xdr:rowOff>
    </xdr:to>
    <xdr:pic>
      <xdr:nvPicPr>
        <xdr:cNvPr id="151953" name="Bosnia"/>
        <xdr:cNvPicPr preferRelativeResize="0">
          <a:picLocks noChangeArrowheads="1"/>
        </xdr:cNvPicPr>
      </xdr:nvPicPr>
      <xdr:blipFill>
        <a:blip xmlns:r="http://schemas.openxmlformats.org/officeDocument/2006/relationships" r:embed="rId10" cstate="print">
          <a:lum contrast="40000"/>
        </a:blip>
        <a:srcRect/>
        <a:stretch>
          <a:fillRect/>
        </a:stretch>
      </xdr:blipFill>
      <xdr:spPr bwMode="auto">
        <a:xfrm>
          <a:off x="13182600" y="42005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22</xdr:row>
      <xdr:rowOff>0</xdr:rowOff>
    </xdr:from>
    <xdr:to>
      <xdr:col>16</xdr:col>
      <xdr:colOff>0</xdr:colOff>
      <xdr:row>23</xdr:row>
      <xdr:rowOff>0</xdr:rowOff>
    </xdr:to>
    <xdr:pic>
      <xdr:nvPicPr>
        <xdr:cNvPr id="151954" name="Iran"/>
        <xdr:cNvPicPr preferRelativeResize="0">
          <a:picLocks noChangeArrowheads="1"/>
        </xdr:cNvPicPr>
      </xdr:nvPicPr>
      <xdr:blipFill>
        <a:blip xmlns:r="http://schemas.openxmlformats.org/officeDocument/2006/relationships" r:embed="rId11" cstate="print">
          <a:lum contrast="40000"/>
        </a:blip>
        <a:srcRect/>
        <a:stretch>
          <a:fillRect/>
        </a:stretch>
      </xdr:blipFill>
      <xdr:spPr bwMode="auto">
        <a:xfrm>
          <a:off x="13182600" y="44005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23</xdr:row>
      <xdr:rowOff>0</xdr:rowOff>
    </xdr:from>
    <xdr:to>
      <xdr:col>16</xdr:col>
      <xdr:colOff>0</xdr:colOff>
      <xdr:row>24</xdr:row>
      <xdr:rowOff>0</xdr:rowOff>
    </xdr:to>
    <xdr:pic>
      <xdr:nvPicPr>
        <xdr:cNvPr id="151955" name="Nigeria"/>
        <xdr:cNvPicPr preferRelativeResize="0">
          <a:picLocks noChangeArrowheads="1"/>
        </xdr:cNvPicPr>
      </xdr:nvPicPr>
      <xdr:blipFill>
        <a:blip xmlns:r="http://schemas.openxmlformats.org/officeDocument/2006/relationships" r:embed="rId12" cstate="print">
          <a:lum contrast="40000"/>
        </a:blip>
        <a:srcRect/>
        <a:stretch>
          <a:fillRect/>
        </a:stretch>
      </xdr:blipFill>
      <xdr:spPr bwMode="auto">
        <a:xfrm>
          <a:off x="13182600" y="46005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16</xdr:col>
      <xdr:colOff>0</xdr:colOff>
      <xdr:row>25</xdr:row>
      <xdr:rowOff>0</xdr:rowOff>
    </xdr:to>
    <xdr:pic>
      <xdr:nvPicPr>
        <xdr:cNvPr id="151956" name="Alemania"/>
        <xdr:cNvPicPr preferRelativeResize="0">
          <a:picLocks noChangeArrowheads="1"/>
        </xdr:cNvPicPr>
      </xdr:nvPicPr>
      <xdr:blipFill>
        <a:blip xmlns:r="http://schemas.openxmlformats.org/officeDocument/2006/relationships" r:embed="rId13" cstate="print">
          <a:lum contrast="40000"/>
        </a:blip>
        <a:srcRect/>
        <a:stretch>
          <a:fillRect/>
        </a:stretch>
      </xdr:blipFill>
      <xdr:spPr bwMode="auto">
        <a:xfrm>
          <a:off x="13182600" y="48006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24</xdr:row>
      <xdr:rowOff>209550</xdr:rowOff>
    </xdr:from>
    <xdr:to>
      <xdr:col>16</xdr:col>
      <xdr:colOff>0</xdr:colOff>
      <xdr:row>26</xdr:row>
      <xdr:rowOff>0</xdr:rowOff>
    </xdr:to>
    <xdr:pic>
      <xdr:nvPicPr>
        <xdr:cNvPr id="151957" name="Portugal"/>
        <xdr:cNvPicPr preferRelativeResize="0">
          <a:picLocks noChangeArrowheads="1"/>
        </xdr:cNvPicPr>
      </xdr:nvPicPr>
      <xdr:blipFill>
        <a:blip xmlns:r="http://schemas.openxmlformats.org/officeDocument/2006/relationships" r:embed="rId14" cstate="print">
          <a:lum contrast="40000"/>
        </a:blip>
        <a:srcRect/>
        <a:stretch>
          <a:fillRect/>
        </a:stretch>
      </xdr:blipFill>
      <xdr:spPr bwMode="auto">
        <a:xfrm>
          <a:off x="13182600" y="50006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26</xdr:row>
      <xdr:rowOff>0</xdr:rowOff>
    </xdr:from>
    <xdr:to>
      <xdr:col>16</xdr:col>
      <xdr:colOff>0</xdr:colOff>
      <xdr:row>27</xdr:row>
      <xdr:rowOff>0</xdr:rowOff>
    </xdr:to>
    <xdr:pic>
      <xdr:nvPicPr>
        <xdr:cNvPr id="151958" name="Ghana"/>
        <xdr:cNvPicPr preferRelativeResize="0">
          <a:picLocks noChangeArrowheads="1"/>
        </xdr:cNvPicPr>
      </xdr:nvPicPr>
      <xdr:blipFill>
        <a:blip xmlns:r="http://schemas.openxmlformats.org/officeDocument/2006/relationships" r:embed="rId15" cstate="print">
          <a:lum contrast="40000"/>
        </a:blip>
        <a:srcRect/>
        <a:stretch>
          <a:fillRect/>
        </a:stretch>
      </xdr:blipFill>
      <xdr:spPr bwMode="auto">
        <a:xfrm>
          <a:off x="13182600" y="52006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27</xdr:row>
      <xdr:rowOff>0</xdr:rowOff>
    </xdr:from>
    <xdr:to>
      <xdr:col>16</xdr:col>
      <xdr:colOff>0</xdr:colOff>
      <xdr:row>28</xdr:row>
      <xdr:rowOff>0</xdr:rowOff>
    </xdr:to>
    <xdr:pic>
      <xdr:nvPicPr>
        <xdr:cNvPr id="151959" name="Usa"/>
        <xdr:cNvPicPr preferRelativeResize="0">
          <a:picLocks noChangeArrowheads="1"/>
        </xdr:cNvPicPr>
      </xdr:nvPicPr>
      <xdr:blipFill>
        <a:blip xmlns:r="http://schemas.openxmlformats.org/officeDocument/2006/relationships" r:embed="rId16" cstate="print">
          <a:lum contrast="40000"/>
        </a:blip>
        <a:srcRect/>
        <a:stretch>
          <a:fillRect/>
        </a:stretch>
      </xdr:blipFill>
      <xdr:spPr bwMode="auto">
        <a:xfrm>
          <a:off x="13182600" y="54006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27</xdr:row>
      <xdr:rowOff>209550</xdr:rowOff>
    </xdr:from>
    <xdr:to>
      <xdr:col>16</xdr:col>
      <xdr:colOff>0</xdr:colOff>
      <xdr:row>29</xdr:row>
      <xdr:rowOff>0</xdr:rowOff>
    </xdr:to>
    <xdr:pic>
      <xdr:nvPicPr>
        <xdr:cNvPr id="151960" name="Belgica"/>
        <xdr:cNvPicPr preferRelativeResize="0">
          <a:picLocks noChangeArrowheads="1"/>
        </xdr:cNvPicPr>
      </xdr:nvPicPr>
      <xdr:blipFill>
        <a:blip xmlns:r="http://schemas.openxmlformats.org/officeDocument/2006/relationships" r:embed="rId17" cstate="print">
          <a:lum contrast="40000"/>
        </a:blip>
        <a:srcRect/>
        <a:stretch>
          <a:fillRect/>
        </a:stretch>
      </xdr:blipFill>
      <xdr:spPr bwMode="auto">
        <a:xfrm>
          <a:off x="13182600" y="56007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29</xdr:row>
      <xdr:rowOff>0</xdr:rowOff>
    </xdr:from>
    <xdr:to>
      <xdr:col>16</xdr:col>
      <xdr:colOff>0</xdr:colOff>
      <xdr:row>30</xdr:row>
      <xdr:rowOff>0</xdr:rowOff>
    </xdr:to>
    <xdr:pic>
      <xdr:nvPicPr>
        <xdr:cNvPr id="151961" name="Argelia"/>
        <xdr:cNvPicPr preferRelativeResize="0">
          <a:picLocks noChangeArrowheads="1"/>
        </xdr:cNvPicPr>
      </xdr:nvPicPr>
      <xdr:blipFill>
        <a:blip xmlns:r="http://schemas.openxmlformats.org/officeDocument/2006/relationships" r:embed="rId18" cstate="print">
          <a:lum contrast="40000"/>
        </a:blip>
        <a:srcRect/>
        <a:stretch>
          <a:fillRect/>
        </a:stretch>
      </xdr:blipFill>
      <xdr:spPr bwMode="auto">
        <a:xfrm>
          <a:off x="13182600" y="58007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30</xdr:row>
      <xdr:rowOff>0</xdr:rowOff>
    </xdr:from>
    <xdr:to>
      <xdr:col>16</xdr:col>
      <xdr:colOff>0</xdr:colOff>
      <xdr:row>31</xdr:row>
      <xdr:rowOff>0</xdr:rowOff>
    </xdr:to>
    <xdr:pic>
      <xdr:nvPicPr>
        <xdr:cNvPr id="151962" name="Rusia"/>
        <xdr:cNvPicPr preferRelativeResize="0">
          <a:picLocks noChangeArrowheads="1"/>
        </xdr:cNvPicPr>
      </xdr:nvPicPr>
      <xdr:blipFill>
        <a:blip xmlns:r="http://schemas.openxmlformats.org/officeDocument/2006/relationships" r:embed="rId19" cstate="print">
          <a:lum contrast="40000"/>
        </a:blip>
        <a:srcRect/>
        <a:stretch>
          <a:fillRect/>
        </a:stretch>
      </xdr:blipFill>
      <xdr:spPr bwMode="auto">
        <a:xfrm>
          <a:off x="13182600" y="60007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31</xdr:row>
      <xdr:rowOff>0</xdr:rowOff>
    </xdr:from>
    <xdr:to>
      <xdr:col>16</xdr:col>
      <xdr:colOff>0</xdr:colOff>
      <xdr:row>32</xdr:row>
      <xdr:rowOff>0</xdr:rowOff>
    </xdr:to>
    <xdr:pic>
      <xdr:nvPicPr>
        <xdr:cNvPr id="151963" name="CoreaDelSur"/>
        <xdr:cNvPicPr preferRelativeResize="0">
          <a:picLocks noChangeArrowheads="1"/>
        </xdr:cNvPicPr>
      </xdr:nvPicPr>
      <xdr:blipFill>
        <a:blip xmlns:r="http://schemas.openxmlformats.org/officeDocument/2006/relationships" r:embed="rId20" cstate="print">
          <a:lum contrast="40000"/>
        </a:blip>
        <a:srcRect/>
        <a:stretch>
          <a:fillRect/>
        </a:stretch>
      </xdr:blipFill>
      <xdr:spPr bwMode="auto">
        <a:xfrm>
          <a:off x="13182600" y="62007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</xdr:row>
      <xdr:rowOff>209550</xdr:rowOff>
    </xdr:from>
    <xdr:to>
      <xdr:col>16</xdr:col>
      <xdr:colOff>0</xdr:colOff>
      <xdr:row>3</xdr:row>
      <xdr:rowOff>0</xdr:rowOff>
    </xdr:to>
    <xdr:pic>
      <xdr:nvPicPr>
        <xdr:cNvPr id="1519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21" cstate="print">
          <a:lum contrast="40000"/>
        </a:blip>
        <a:srcRect/>
        <a:stretch>
          <a:fillRect/>
        </a:stretch>
      </xdr:blipFill>
      <xdr:spPr bwMode="auto">
        <a:xfrm>
          <a:off x="13182600" y="4000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0</xdr:row>
      <xdr:rowOff>209550</xdr:rowOff>
    </xdr:from>
    <xdr:to>
      <xdr:col>16</xdr:col>
      <xdr:colOff>0</xdr:colOff>
      <xdr:row>2</xdr:row>
      <xdr:rowOff>0</xdr:rowOff>
    </xdr:to>
    <xdr:pic>
      <xdr:nvPicPr>
        <xdr:cNvPr id="15196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22" cstate="print">
          <a:lum contrast="40000"/>
        </a:blip>
        <a:srcRect/>
        <a:stretch>
          <a:fillRect/>
        </a:stretch>
      </xdr:blipFill>
      <xdr:spPr bwMode="auto">
        <a:xfrm>
          <a:off x="13182600" y="2000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5196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23" cstate="print">
          <a:lum contrast="40000"/>
        </a:blip>
        <a:srcRect/>
        <a:stretch>
          <a:fillRect/>
        </a:stretch>
      </xdr:blipFill>
      <xdr:spPr bwMode="auto">
        <a:xfrm>
          <a:off x="13182600" y="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</xdr:row>
      <xdr:rowOff>0</xdr:rowOff>
    </xdr:from>
    <xdr:to>
      <xdr:col>16</xdr:col>
      <xdr:colOff>0</xdr:colOff>
      <xdr:row>4</xdr:row>
      <xdr:rowOff>0</xdr:rowOff>
    </xdr:to>
    <xdr:pic>
      <xdr:nvPicPr>
        <xdr:cNvPr id="15196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4" cstate="print">
          <a:lum contrast="40000"/>
        </a:blip>
        <a:srcRect/>
        <a:stretch>
          <a:fillRect/>
        </a:stretch>
      </xdr:blipFill>
      <xdr:spPr bwMode="auto">
        <a:xfrm>
          <a:off x="13182600" y="6000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16</xdr:col>
      <xdr:colOff>0</xdr:colOff>
      <xdr:row>5</xdr:row>
      <xdr:rowOff>0</xdr:rowOff>
    </xdr:to>
    <xdr:pic>
      <xdr:nvPicPr>
        <xdr:cNvPr id="151968" name="España"/>
        <xdr:cNvPicPr preferRelativeResize="0">
          <a:picLocks noChangeArrowheads="1"/>
        </xdr:cNvPicPr>
      </xdr:nvPicPr>
      <xdr:blipFill>
        <a:blip xmlns:r="http://schemas.openxmlformats.org/officeDocument/2006/relationships" r:embed="rId25" cstate="print">
          <a:lum contrast="40000"/>
        </a:blip>
        <a:srcRect/>
        <a:stretch>
          <a:fillRect/>
        </a:stretch>
      </xdr:blipFill>
      <xdr:spPr bwMode="auto">
        <a:xfrm>
          <a:off x="13182600" y="8001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5</xdr:row>
      <xdr:rowOff>209550</xdr:rowOff>
    </xdr:from>
    <xdr:to>
      <xdr:col>16</xdr:col>
      <xdr:colOff>0</xdr:colOff>
      <xdr:row>7</xdr:row>
      <xdr:rowOff>0</xdr:rowOff>
    </xdr:to>
    <xdr:pic>
      <xdr:nvPicPr>
        <xdr:cNvPr id="151969" name="Holanda"/>
        <xdr:cNvPicPr preferRelativeResize="0">
          <a:picLocks noChangeArrowheads="1"/>
        </xdr:cNvPicPr>
      </xdr:nvPicPr>
      <xdr:blipFill>
        <a:blip xmlns:r="http://schemas.openxmlformats.org/officeDocument/2006/relationships" r:embed="rId26" cstate="print">
          <a:lum contrast="40000"/>
        </a:blip>
        <a:srcRect/>
        <a:stretch>
          <a:fillRect/>
        </a:stretch>
      </xdr:blipFill>
      <xdr:spPr bwMode="auto">
        <a:xfrm>
          <a:off x="13182600" y="12001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5</xdr:row>
      <xdr:rowOff>0</xdr:rowOff>
    </xdr:from>
    <xdr:to>
      <xdr:col>16</xdr:col>
      <xdr:colOff>0</xdr:colOff>
      <xdr:row>6</xdr:row>
      <xdr:rowOff>0</xdr:rowOff>
    </xdr:to>
    <xdr:pic>
      <xdr:nvPicPr>
        <xdr:cNvPr id="151970" name="Chile"/>
        <xdr:cNvPicPr preferRelativeResize="0">
          <a:picLocks noChangeArrowheads="1"/>
        </xdr:cNvPicPr>
      </xdr:nvPicPr>
      <xdr:blipFill>
        <a:blip xmlns:r="http://schemas.openxmlformats.org/officeDocument/2006/relationships" r:embed="rId27" cstate="print">
          <a:lum contrast="40000"/>
        </a:blip>
        <a:srcRect/>
        <a:stretch>
          <a:fillRect/>
        </a:stretch>
      </xdr:blipFill>
      <xdr:spPr bwMode="auto">
        <a:xfrm>
          <a:off x="13182600" y="10001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7</xdr:row>
      <xdr:rowOff>0</xdr:rowOff>
    </xdr:from>
    <xdr:to>
      <xdr:col>16</xdr:col>
      <xdr:colOff>0</xdr:colOff>
      <xdr:row>8</xdr:row>
      <xdr:rowOff>0</xdr:rowOff>
    </xdr:to>
    <xdr:pic>
      <xdr:nvPicPr>
        <xdr:cNvPr id="151971" name="Australia"/>
        <xdr:cNvPicPr preferRelativeResize="0">
          <a:picLocks noChangeArrowheads="1"/>
        </xdr:cNvPicPr>
      </xdr:nvPicPr>
      <xdr:blipFill>
        <a:blip xmlns:r="http://schemas.openxmlformats.org/officeDocument/2006/relationships" r:embed="rId28" cstate="print">
          <a:lum contrast="40000"/>
        </a:blip>
        <a:srcRect/>
        <a:stretch>
          <a:fillRect/>
        </a:stretch>
      </xdr:blipFill>
      <xdr:spPr bwMode="auto">
        <a:xfrm>
          <a:off x="13182600" y="14001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10</xdr:row>
      <xdr:rowOff>0</xdr:rowOff>
    </xdr:from>
    <xdr:to>
      <xdr:col>16</xdr:col>
      <xdr:colOff>0</xdr:colOff>
      <xdr:row>11</xdr:row>
      <xdr:rowOff>0</xdr:rowOff>
    </xdr:to>
    <xdr:pic>
      <xdr:nvPicPr>
        <xdr:cNvPr id="151972" name="Grecia"/>
        <xdr:cNvPicPr preferRelativeResize="0">
          <a:picLocks noChangeArrowheads="1"/>
        </xdr:cNvPicPr>
      </xdr:nvPicPr>
      <xdr:blipFill>
        <a:blip xmlns:r="http://schemas.openxmlformats.org/officeDocument/2006/relationships" r:embed="rId29" cstate="print">
          <a:lum contrast="40000"/>
        </a:blip>
        <a:srcRect/>
        <a:stretch>
          <a:fillRect/>
        </a:stretch>
      </xdr:blipFill>
      <xdr:spPr bwMode="auto">
        <a:xfrm>
          <a:off x="13182600" y="200025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16</xdr:col>
      <xdr:colOff>0</xdr:colOff>
      <xdr:row>10</xdr:row>
      <xdr:rowOff>0</xdr:rowOff>
    </xdr:to>
    <xdr:pic>
      <xdr:nvPicPr>
        <xdr:cNvPr id="151973" name="CostaDeMarfil"/>
        <xdr:cNvPicPr preferRelativeResize="0">
          <a:picLocks noChangeArrowheads="1"/>
        </xdr:cNvPicPr>
      </xdr:nvPicPr>
      <xdr:blipFill>
        <a:blip xmlns:r="http://schemas.openxmlformats.org/officeDocument/2006/relationships" r:embed="rId30" cstate="print">
          <a:lum contrast="40000"/>
        </a:blip>
        <a:srcRect/>
        <a:stretch>
          <a:fillRect/>
        </a:stretch>
      </xdr:blipFill>
      <xdr:spPr bwMode="auto">
        <a:xfrm>
          <a:off x="13182600" y="180022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11</xdr:row>
      <xdr:rowOff>0</xdr:rowOff>
    </xdr:from>
    <xdr:to>
      <xdr:col>16</xdr:col>
      <xdr:colOff>0</xdr:colOff>
      <xdr:row>12</xdr:row>
      <xdr:rowOff>0</xdr:rowOff>
    </xdr:to>
    <xdr:pic>
      <xdr:nvPicPr>
        <xdr:cNvPr id="151974" name="Japon"/>
        <xdr:cNvPicPr preferRelativeResize="0">
          <a:picLocks noChangeArrowheads="1"/>
        </xdr:cNvPicPr>
      </xdr:nvPicPr>
      <xdr:blipFill>
        <a:blip xmlns:r="http://schemas.openxmlformats.org/officeDocument/2006/relationships" r:embed="rId31" cstate="print">
          <a:lum contrast="40000"/>
        </a:blip>
        <a:srcRect/>
        <a:stretch>
          <a:fillRect/>
        </a:stretch>
      </xdr:blipFill>
      <xdr:spPr bwMode="auto">
        <a:xfrm>
          <a:off x="13182600" y="2200275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8</xdr:row>
      <xdr:rowOff>0</xdr:rowOff>
    </xdr:from>
    <xdr:to>
      <xdr:col>16</xdr:col>
      <xdr:colOff>0</xdr:colOff>
      <xdr:row>9</xdr:row>
      <xdr:rowOff>0</xdr:rowOff>
    </xdr:to>
    <xdr:pic>
      <xdr:nvPicPr>
        <xdr:cNvPr id="151975" name="Colombia"/>
        <xdr:cNvPicPr preferRelativeResize="0">
          <a:picLocks noChangeArrowheads="1"/>
        </xdr:cNvPicPr>
      </xdr:nvPicPr>
      <xdr:blipFill>
        <a:blip xmlns:r="http://schemas.openxmlformats.org/officeDocument/2006/relationships" r:embed="rId32" cstate="print">
          <a:lum contrast="40000"/>
        </a:blip>
        <a:srcRect/>
        <a:stretch>
          <a:fillRect/>
        </a:stretch>
      </xdr:blipFill>
      <xdr:spPr bwMode="auto">
        <a:xfrm>
          <a:off x="13182600" y="16002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0</xdr:colOff>
      <xdr:row>32</xdr:row>
      <xdr:rowOff>0</xdr:rowOff>
    </xdr:from>
    <xdr:to>
      <xdr:col>16</xdr:col>
      <xdr:colOff>0</xdr:colOff>
      <xdr:row>33</xdr:row>
      <xdr:rowOff>0</xdr:rowOff>
    </xdr:to>
    <xdr:pic>
      <xdr:nvPicPr>
        <xdr:cNvPr id="151976" name="SinDatos"/>
        <xdr:cNvPicPr preferRelativeResize="0">
          <a:picLocks noChangeArrowheads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13182600" y="6400800"/>
          <a:ext cx="31432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1546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1546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1546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546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546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546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1546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1546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546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546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546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546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2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2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2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2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546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46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546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546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546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1546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4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4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4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1546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1546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1546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1546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1546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1546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62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6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65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6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1546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1546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1546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1546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1546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1546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8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6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69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69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6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6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6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6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6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547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547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547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547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547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547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19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2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22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23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547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547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547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547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547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547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5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5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5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5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7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47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47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47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47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547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796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79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7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799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00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548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548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548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548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548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3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3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5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7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7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0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0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0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4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4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8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8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8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762000</xdr:colOff>
      <xdr:row>1</xdr:row>
      <xdr:rowOff>9525</xdr:rowOff>
    </xdr:from>
    <xdr:to>
      <xdr:col>4</xdr:col>
      <xdr:colOff>762000</xdr:colOff>
      <xdr:row>2</xdr:row>
      <xdr:rowOff>0</xdr:rowOff>
    </xdr:to>
    <xdr:pic>
      <xdr:nvPicPr>
        <xdr:cNvPr id="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1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3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6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7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</xdr:row>
      <xdr:rowOff>9525</xdr:rowOff>
    </xdr:from>
    <xdr:to>
      <xdr:col>4</xdr:col>
      <xdr:colOff>762000</xdr:colOff>
      <xdr:row>3</xdr:row>
      <xdr:rowOff>0</xdr:rowOff>
    </xdr:to>
    <xdr:pic>
      <xdr:nvPicPr>
        <xdr:cNvPr id="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33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</xdr:row>
      <xdr:rowOff>9525</xdr:rowOff>
    </xdr:from>
    <xdr:to>
      <xdr:col>4</xdr:col>
      <xdr:colOff>762000</xdr:colOff>
      <xdr:row>4</xdr:row>
      <xdr:rowOff>0</xdr:rowOff>
    </xdr:to>
    <xdr:pic>
      <xdr:nvPicPr>
        <xdr:cNvPr id="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95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</xdr:row>
      <xdr:rowOff>9525</xdr:rowOff>
    </xdr:from>
    <xdr:to>
      <xdr:col>4</xdr:col>
      <xdr:colOff>762000</xdr:colOff>
      <xdr:row>5</xdr:row>
      <xdr:rowOff>0</xdr:rowOff>
    </xdr:to>
    <xdr:pic>
      <xdr:nvPicPr>
        <xdr:cNvPr id="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57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</xdr:row>
      <xdr:rowOff>9525</xdr:rowOff>
    </xdr:from>
    <xdr:to>
      <xdr:col>4</xdr:col>
      <xdr:colOff>762000</xdr:colOff>
      <xdr:row>6</xdr:row>
      <xdr:rowOff>0</xdr:rowOff>
    </xdr:to>
    <xdr:pic>
      <xdr:nvPicPr>
        <xdr:cNvPr id="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9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</xdr:row>
      <xdr:rowOff>9525</xdr:rowOff>
    </xdr:from>
    <xdr:to>
      <xdr:col>4</xdr:col>
      <xdr:colOff>762000</xdr:colOff>
      <xdr:row>7</xdr:row>
      <xdr:rowOff>0</xdr:rowOff>
    </xdr:to>
    <xdr:pic>
      <xdr:nvPicPr>
        <xdr:cNvPr id="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1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9</xdr:row>
      <xdr:rowOff>9525</xdr:rowOff>
    </xdr:from>
    <xdr:to>
      <xdr:col>4</xdr:col>
      <xdr:colOff>762000</xdr:colOff>
      <xdr:row>10</xdr:row>
      <xdr:rowOff>0</xdr:rowOff>
    </xdr:to>
    <xdr:pic>
      <xdr:nvPicPr>
        <xdr:cNvPr id="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466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1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1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1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10</xdr:row>
      <xdr:rowOff>9525</xdr:rowOff>
    </xdr:from>
    <xdr:to>
      <xdr:col>4</xdr:col>
      <xdr:colOff>762000</xdr:colOff>
      <xdr:row>11</xdr:row>
      <xdr:rowOff>0</xdr:rowOff>
    </xdr:to>
    <xdr:pic>
      <xdr:nvPicPr>
        <xdr:cNvPr id="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628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11</xdr:row>
      <xdr:rowOff>9525</xdr:rowOff>
    </xdr:from>
    <xdr:to>
      <xdr:col>4</xdr:col>
      <xdr:colOff>762000</xdr:colOff>
      <xdr:row>12</xdr:row>
      <xdr:rowOff>0</xdr:rowOff>
    </xdr:to>
    <xdr:pic>
      <xdr:nvPicPr>
        <xdr:cNvPr id="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790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12</xdr:row>
      <xdr:rowOff>9525</xdr:rowOff>
    </xdr:from>
    <xdr:to>
      <xdr:col>4</xdr:col>
      <xdr:colOff>762000</xdr:colOff>
      <xdr:row>13</xdr:row>
      <xdr:rowOff>0</xdr:rowOff>
    </xdr:to>
    <xdr:pic>
      <xdr:nvPicPr>
        <xdr:cNvPr id="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952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13</xdr:row>
      <xdr:rowOff>9525</xdr:rowOff>
    </xdr:from>
    <xdr:to>
      <xdr:col>4</xdr:col>
      <xdr:colOff>762000</xdr:colOff>
      <xdr:row>14</xdr:row>
      <xdr:rowOff>0</xdr:rowOff>
    </xdr:to>
    <xdr:pic>
      <xdr:nvPicPr>
        <xdr:cNvPr id="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114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14</xdr:row>
      <xdr:rowOff>9525</xdr:rowOff>
    </xdr:from>
    <xdr:to>
      <xdr:col>4</xdr:col>
      <xdr:colOff>762000</xdr:colOff>
      <xdr:row>15</xdr:row>
      <xdr:rowOff>0</xdr:rowOff>
    </xdr:to>
    <xdr:pic>
      <xdr:nvPicPr>
        <xdr:cNvPr id="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276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17</xdr:row>
      <xdr:rowOff>9525</xdr:rowOff>
    </xdr:from>
    <xdr:to>
      <xdr:col>4</xdr:col>
      <xdr:colOff>762000</xdr:colOff>
      <xdr:row>18</xdr:row>
      <xdr:rowOff>0</xdr:rowOff>
    </xdr:to>
    <xdr:pic>
      <xdr:nvPicPr>
        <xdr:cNvPr id="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7622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0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3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4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18</xdr:row>
      <xdr:rowOff>9525</xdr:rowOff>
    </xdr:from>
    <xdr:to>
      <xdr:col>4</xdr:col>
      <xdr:colOff>762000</xdr:colOff>
      <xdr:row>19</xdr:row>
      <xdr:rowOff>0</xdr:rowOff>
    </xdr:to>
    <xdr:pic>
      <xdr:nvPicPr>
        <xdr:cNvPr id="4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29241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19</xdr:row>
      <xdr:rowOff>9525</xdr:rowOff>
    </xdr:from>
    <xdr:to>
      <xdr:col>4</xdr:col>
      <xdr:colOff>762000</xdr:colOff>
      <xdr:row>20</xdr:row>
      <xdr:rowOff>0</xdr:rowOff>
    </xdr:to>
    <xdr:pic>
      <xdr:nvPicPr>
        <xdr:cNvPr id="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0861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20</xdr:row>
      <xdr:rowOff>9525</xdr:rowOff>
    </xdr:from>
    <xdr:to>
      <xdr:col>4</xdr:col>
      <xdr:colOff>762000</xdr:colOff>
      <xdr:row>21</xdr:row>
      <xdr:rowOff>0</xdr:rowOff>
    </xdr:to>
    <xdr:pic>
      <xdr:nvPicPr>
        <xdr:cNvPr id="4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2480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21</xdr:row>
      <xdr:rowOff>9525</xdr:rowOff>
    </xdr:from>
    <xdr:to>
      <xdr:col>4</xdr:col>
      <xdr:colOff>762000</xdr:colOff>
      <xdr:row>22</xdr:row>
      <xdr:rowOff>0</xdr:rowOff>
    </xdr:to>
    <xdr:pic>
      <xdr:nvPicPr>
        <xdr:cNvPr id="4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4099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22</xdr:row>
      <xdr:rowOff>9525</xdr:rowOff>
    </xdr:from>
    <xdr:to>
      <xdr:col>4</xdr:col>
      <xdr:colOff>762000</xdr:colOff>
      <xdr:row>23</xdr:row>
      <xdr:rowOff>0</xdr:rowOff>
    </xdr:to>
    <xdr:pic>
      <xdr:nvPicPr>
        <xdr:cNvPr id="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35718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25</xdr:row>
      <xdr:rowOff>9525</xdr:rowOff>
    </xdr:from>
    <xdr:to>
      <xdr:col>4</xdr:col>
      <xdr:colOff>762000</xdr:colOff>
      <xdr:row>26</xdr:row>
      <xdr:rowOff>0</xdr:rowOff>
    </xdr:to>
    <xdr:pic>
      <xdr:nvPicPr>
        <xdr:cNvPr id="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0576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1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4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5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26</xdr:row>
      <xdr:rowOff>9525</xdr:rowOff>
    </xdr:from>
    <xdr:to>
      <xdr:col>4</xdr:col>
      <xdr:colOff>762000</xdr:colOff>
      <xdr:row>27</xdr:row>
      <xdr:rowOff>0</xdr:rowOff>
    </xdr:to>
    <xdr:pic>
      <xdr:nvPicPr>
        <xdr:cNvPr id="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2195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27</xdr:row>
      <xdr:rowOff>9525</xdr:rowOff>
    </xdr:from>
    <xdr:to>
      <xdr:col>4</xdr:col>
      <xdr:colOff>762000</xdr:colOff>
      <xdr:row>28</xdr:row>
      <xdr:rowOff>0</xdr:rowOff>
    </xdr:to>
    <xdr:pic>
      <xdr:nvPicPr>
        <xdr:cNvPr id="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3815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28</xdr:row>
      <xdr:rowOff>9525</xdr:rowOff>
    </xdr:from>
    <xdr:to>
      <xdr:col>4</xdr:col>
      <xdr:colOff>762000</xdr:colOff>
      <xdr:row>29</xdr:row>
      <xdr:rowOff>0</xdr:rowOff>
    </xdr:to>
    <xdr:pic>
      <xdr:nvPicPr>
        <xdr:cNvPr id="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5434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29</xdr:row>
      <xdr:rowOff>9525</xdr:rowOff>
    </xdr:from>
    <xdr:to>
      <xdr:col>4</xdr:col>
      <xdr:colOff>762000</xdr:colOff>
      <xdr:row>30</xdr:row>
      <xdr:rowOff>0</xdr:rowOff>
    </xdr:to>
    <xdr:pic>
      <xdr:nvPicPr>
        <xdr:cNvPr id="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7053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30</xdr:row>
      <xdr:rowOff>9525</xdr:rowOff>
    </xdr:from>
    <xdr:to>
      <xdr:col>4</xdr:col>
      <xdr:colOff>762000</xdr:colOff>
      <xdr:row>31</xdr:row>
      <xdr:rowOff>0</xdr:rowOff>
    </xdr:to>
    <xdr:pic>
      <xdr:nvPicPr>
        <xdr:cNvPr id="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48672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33</xdr:row>
      <xdr:rowOff>9525</xdr:rowOff>
    </xdr:from>
    <xdr:to>
      <xdr:col>4</xdr:col>
      <xdr:colOff>762000</xdr:colOff>
      <xdr:row>34</xdr:row>
      <xdr:rowOff>0</xdr:rowOff>
    </xdr:to>
    <xdr:pic>
      <xdr:nvPicPr>
        <xdr:cNvPr id="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3530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77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7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0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1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8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8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8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8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34</xdr:row>
      <xdr:rowOff>9525</xdr:rowOff>
    </xdr:from>
    <xdr:to>
      <xdr:col>4</xdr:col>
      <xdr:colOff>762000</xdr:colOff>
      <xdr:row>35</xdr:row>
      <xdr:rowOff>0</xdr:rowOff>
    </xdr:to>
    <xdr:pic>
      <xdr:nvPicPr>
        <xdr:cNvPr id="1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5149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35</xdr:row>
      <xdr:rowOff>9525</xdr:rowOff>
    </xdr:from>
    <xdr:to>
      <xdr:col>4</xdr:col>
      <xdr:colOff>762000</xdr:colOff>
      <xdr:row>36</xdr:row>
      <xdr:rowOff>0</xdr:rowOff>
    </xdr:to>
    <xdr:pic>
      <xdr:nvPicPr>
        <xdr:cNvPr id="1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6769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36</xdr:row>
      <xdr:rowOff>9525</xdr:rowOff>
    </xdr:from>
    <xdr:to>
      <xdr:col>4</xdr:col>
      <xdr:colOff>762000</xdr:colOff>
      <xdr:row>37</xdr:row>
      <xdr:rowOff>0</xdr:rowOff>
    </xdr:to>
    <xdr:pic>
      <xdr:nvPicPr>
        <xdr:cNvPr id="1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58388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37</xdr:row>
      <xdr:rowOff>9525</xdr:rowOff>
    </xdr:from>
    <xdr:to>
      <xdr:col>4</xdr:col>
      <xdr:colOff>762000</xdr:colOff>
      <xdr:row>38</xdr:row>
      <xdr:rowOff>0</xdr:rowOff>
    </xdr:to>
    <xdr:pic>
      <xdr:nvPicPr>
        <xdr:cNvPr id="1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0007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38</xdr:row>
      <xdr:rowOff>9525</xdr:rowOff>
    </xdr:from>
    <xdr:to>
      <xdr:col>4</xdr:col>
      <xdr:colOff>762000</xdr:colOff>
      <xdr:row>39</xdr:row>
      <xdr:rowOff>0</xdr:rowOff>
    </xdr:to>
    <xdr:pic>
      <xdr:nvPicPr>
        <xdr:cNvPr id="1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1626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41</xdr:row>
      <xdr:rowOff>9525</xdr:rowOff>
    </xdr:from>
    <xdr:to>
      <xdr:col>4</xdr:col>
      <xdr:colOff>762000</xdr:colOff>
      <xdr:row>42</xdr:row>
      <xdr:rowOff>0</xdr:rowOff>
    </xdr:to>
    <xdr:pic>
      <xdr:nvPicPr>
        <xdr:cNvPr id="1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6484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08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0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1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2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3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3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3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42</xdr:row>
      <xdr:rowOff>9525</xdr:rowOff>
    </xdr:from>
    <xdr:to>
      <xdr:col>4</xdr:col>
      <xdr:colOff>762000</xdr:colOff>
      <xdr:row>43</xdr:row>
      <xdr:rowOff>0</xdr:rowOff>
    </xdr:to>
    <xdr:pic>
      <xdr:nvPicPr>
        <xdr:cNvPr id="13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8103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43</xdr:row>
      <xdr:rowOff>9525</xdr:rowOff>
    </xdr:from>
    <xdr:to>
      <xdr:col>4</xdr:col>
      <xdr:colOff>762000</xdr:colOff>
      <xdr:row>44</xdr:row>
      <xdr:rowOff>0</xdr:rowOff>
    </xdr:to>
    <xdr:pic>
      <xdr:nvPicPr>
        <xdr:cNvPr id="13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69723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44</xdr:row>
      <xdr:rowOff>9525</xdr:rowOff>
    </xdr:from>
    <xdr:to>
      <xdr:col>4</xdr:col>
      <xdr:colOff>762000</xdr:colOff>
      <xdr:row>45</xdr:row>
      <xdr:rowOff>0</xdr:rowOff>
    </xdr:to>
    <xdr:pic>
      <xdr:nvPicPr>
        <xdr:cNvPr id="14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1342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45</xdr:row>
      <xdr:rowOff>9525</xdr:rowOff>
    </xdr:from>
    <xdr:to>
      <xdr:col>4</xdr:col>
      <xdr:colOff>762000</xdr:colOff>
      <xdr:row>46</xdr:row>
      <xdr:rowOff>0</xdr:rowOff>
    </xdr:to>
    <xdr:pic>
      <xdr:nvPicPr>
        <xdr:cNvPr id="14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2961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46</xdr:row>
      <xdr:rowOff>9525</xdr:rowOff>
    </xdr:from>
    <xdr:to>
      <xdr:col>4</xdr:col>
      <xdr:colOff>762000</xdr:colOff>
      <xdr:row>47</xdr:row>
      <xdr:rowOff>0</xdr:rowOff>
    </xdr:to>
    <xdr:pic>
      <xdr:nvPicPr>
        <xdr:cNvPr id="14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4580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49</xdr:row>
      <xdr:rowOff>9525</xdr:rowOff>
    </xdr:from>
    <xdr:to>
      <xdr:col>4</xdr:col>
      <xdr:colOff>762000</xdr:colOff>
      <xdr:row>50</xdr:row>
      <xdr:rowOff>0</xdr:rowOff>
    </xdr:to>
    <xdr:pic>
      <xdr:nvPicPr>
        <xdr:cNvPr id="14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79438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4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45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4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47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48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4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5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5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5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5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5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6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6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6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6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6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7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7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7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7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50</xdr:row>
      <xdr:rowOff>9525</xdr:rowOff>
    </xdr:from>
    <xdr:to>
      <xdr:col>4</xdr:col>
      <xdr:colOff>762000</xdr:colOff>
      <xdr:row>51</xdr:row>
      <xdr:rowOff>0</xdr:rowOff>
    </xdr:to>
    <xdr:pic>
      <xdr:nvPicPr>
        <xdr:cNvPr id="17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1057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51</xdr:row>
      <xdr:rowOff>9525</xdr:rowOff>
    </xdr:from>
    <xdr:to>
      <xdr:col>4</xdr:col>
      <xdr:colOff>762000</xdr:colOff>
      <xdr:row>52</xdr:row>
      <xdr:rowOff>0</xdr:rowOff>
    </xdr:to>
    <xdr:pic>
      <xdr:nvPicPr>
        <xdr:cNvPr id="18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26770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52</xdr:row>
      <xdr:rowOff>9525</xdr:rowOff>
    </xdr:from>
    <xdr:to>
      <xdr:col>4</xdr:col>
      <xdr:colOff>762000</xdr:colOff>
      <xdr:row>53</xdr:row>
      <xdr:rowOff>0</xdr:rowOff>
    </xdr:to>
    <xdr:pic>
      <xdr:nvPicPr>
        <xdr:cNvPr id="18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42962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53</xdr:row>
      <xdr:rowOff>9525</xdr:rowOff>
    </xdr:from>
    <xdr:to>
      <xdr:col>4</xdr:col>
      <xdr:colOff>762000</xdr:colOff>
      <xdr:row>54</xdr:row>
      <xdr:rowOff>0</xdr:rowOff>
    </xdr:to>
    <xdr:pic>
      <xdr:nvPicPr>
        <xdr:cNvPr id="18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591550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54</xdr:row>
      <xdr:rowOff>9525</xdr:rowOff>
    </xdr:from>
    <xdr:to>
      <xdr:col>4</xdr:col>
      <xdr:colOff>762000</xdr:colOff>
      <xdr:row>55</xdr:row>
      <xdr:rowOff>0</xdr:rowOff>
    </xdr:to>
    <xdr:pic>
      <xdr:nvPicPr>
        <xdr:cNvPr id="18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8753475"/>
          <a:ext cx="0" cy="152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57</xdr:row>
      <xdr:rowOff>9525</xdr:rowOff>
    </xdr:from>
    <xdr:to>
      <xdr:col>4</xdr:col>
      <xdr:colOff>762000</xdr:colOff>
      <xdr:row>58</xdr:row>
      <xdr:rowOff>0</xdr:rowOff>
    </xdr:to>
    <xdr:pic>
      <xdr:nvPicPr>
        <xdr:cNvPr id="18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267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85" name="Camerun"/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86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8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88" name="Brasil"/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89" name="Mexico"/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19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19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19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19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19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0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0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0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0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0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1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1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1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1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1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0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1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2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3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4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58</xdr:row>
      <xdr:rowOff>9525</xdr:rowOff>
    </xdr:from>
    <xdr:to>
      <xdr:col>4</xdr:col>
      <xdr:colOff>762000</xdr:colOff>
      <xdr:row>59</xdr:row>
      <xdr:rowOff>0</xdr:rowOff>
    </xdr:to>
    <xdr:pic>
      <xdr:nvPicPr>
        <xdr:cNvPr id="225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458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59</xdr:row>
      <xdr:rowOff>9525</xdr:rowOff>
    </xdr:from>
    <xdr:to>
      <xdr:col>4</xdr:col>
      <xdr:colOff>762000</xdr:colOff>
      <xdr:row>60</xdr:row>
      <xdr:rowOff>0</xdr:rowOff>
    </xdr:to>
    <xdr:pic>
      <xdr:nvPicPr>
        <xdr:cNvPr id="226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648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60</xdr:row>
      <xdr:rowOff>9525</xdr:rowOff>
    </xdr:from>
    <xdr:to>
      <xdr:col>4</xdr:col>
      <xdr:colOff>762000</xdr:colOff>
      <xdr:row>61</xdr:row>
      <xdr:rowOff>0</xdr:rowOff>
    </xdr:to>
    <xdr:pic>
      <xdr:nvPicPr>
        <xdr:cNvPr id="227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9839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61</xdr:row>
      <xdr:rowOff>9525</xdr:rowOff>
    </xdr:from>
    <xdr:to>
      <xdr:col>4</xdr:col>
      <xdr:colOff>762000</xdr:colOff>
      <xdr:row>62</xdr:row>
      <xdr:rowOff>0</xdr:rowOff>
    </xdr:to>
    <xdr:pic>
      <xdr:nvPicPr>
        <xdr:cNvPr id="228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0298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762000</xdr:colOff>
      <xdr:row>62</xdr:row>
      <xdr:rowOff>9525</xdr:rowOff>
    </xdr:from>
    <xdr:to>
      <xdr:col>4</xdr:col>
      <xdr:colOff>762000</xdr:colOff>
      <xdr:row>63</xdr:row>
      <xdr:rowOff>0</xdr:rowOff>
    </xdr:to>
    <xdr:pic>
      <xdr:nvPicPr>
        <xdr:cNvPr id="229" name="Croacia"/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lum contrast="40000"/>
        </a:blip>
        <a:srcRect/>
        <a:stretch>
          <a:fillRect/>
        </a:stretch>
      </xdr:blipFill>
      <xdr:spPr bwMode="auto">
        <a:xfrm>
          <a:off x="2419350" y="10220325"/>
          <a:ext cx="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%20-%20Askhat%20Turlybayev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Moure/AppData/Local/Microsoft/Windows/Temporary%20Internet%20Files/Content.Outlook/XAKY0YS1/Mundial%20de%20Futbol%20Brasil%202014%20-%20Antonio%20Gonzalez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-%20Fixture,Quiniela%20AG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Copy%20of%20Mundial%20de%20Futbol%20Brasil%202014-%20Daniel%20Alonz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%20(2)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Erika%20Guillen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-%20FSA%20Scores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%20(3)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_GPlaza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JJam/Downloads/Mundial%20de%20Futbol%20Brasil%20201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Original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-%20Jessica%20Gonzalez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wnloads\Mundial%20de%20Futbol%20Brasil%202014%20Original%20(1)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Mundial%20de%20Futbol%20Brasil%202014%20_%20Manuel%20-%20Copy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Mundial%20de%20Futbol%20Brasil%202014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Moure/AppData/Local/Microsoft/Windows/Temporary%20Internet%20Files/Content.Outlook/XAKY0YS1/Copy%20of%20Mundial%20de%20Futbol%20Brasil%202014-%20Nayeem%20Khalid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Copy%20of%20Mundial%20de%20Futbol%20Brasil%202014%20(2)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Quiniela%20Ganadora%20-%20Rodrigo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%20Original.%20Tomas%20Zirczy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Copy%20of%20Mundial%20de%20Futbol%20Brasil%202014%20(%20VALERIA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\Downloads\Mundial%20de%20Futbol%20Brasil%202014%20-%20MATT%20MCIVER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Japón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Brasil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Costa de Marfil</v>
          </cell>
        </row>
        <row r="18">
          <cell r="G18" t="str">
            <v>Colombia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Ecuador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República de Corea</v>
          </cell>
        </row>
      </sheetData>
      <sheetData sheetId="9"/>
      <sheetData sheetId="10"/>
      <sheetData sheetId="11"/>
      <sheetData sheetId="12">
        <row r="14">
          <cell r="I14" t="str">
            <v>Argentina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Calculos M"/>
      <sheetName val="CalculosAntonio"/>
      <sheetName val="Estadisticas"/>
      <sheetName val="Ranking"/>
      <sheetName val="Manuel"/>
      <sheetName val="Antonio J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Japón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EEUU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SI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/>
      <sheetData sheetId="19"/>
      <sheetData sheetId="20">
        <row r="2">
          <cell r="A2" t="str">
            <v>PE</v>
          </cell>
        </row>
      </sheetData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Uruguay</v>
          </cell>
        </row>
        <row r="18">
          <cell r="G18" t="str">
            <v>Inglaterra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República de Corea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P1">
            <v>0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P2">
            <v>0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P3">
            <v>0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P4">
            <v>0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P5">
            <v>0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P6">
            <v>0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P7">
            <v>0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P8">
            <v>0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P9">
            <v>0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P10">
            <v>0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P11">
            <v>0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P12">
            <v>0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P13">
            <v>0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P14">
            <v>0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P15">
            <v>0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P16">
            <v>0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P17">
            <v>0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P18">
            <v>0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P19">
            <v>0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P20">
            <v>0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P21">
            <v>0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P22">
            <v>0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P23">
            <v>0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P24">
            <v>0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P25">
            <v>0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P26">
            <v>0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P27">
            <v>0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P28">
            <v>0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P29">
            <v>0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P30">
            <v>0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P31">
            <v>0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P32">
            <v>0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P33">
            <v>0</v>
          </cell>
          <cell r="Q33" t="str">
            <v>SinDatos</v>
          </cell>
          <cell r="R33">
            <v>0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Argentina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Inglaterra</v>
          </cell>
        </row>
      </sheetData>
      <sheetData sheetId="5">
        <row r="17">
          <cell r="G17" t="str">
            <v>Ecuador</v>
          </cell>
        </row>
        <row r="18">
          <cell r="G18" t="str">
            <v>Francia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EEUU</v>
          </cell>
        </row>
      </sheetData>
      <sheetData sheetId="8">
        <row r="17">
          <cell r="G17" t="str">
            <v>Bélgica</v>
          </cell>
        </row>
        <row r="18">
          <cell r="G18" t="str">
            <v>Argelia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Portugal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Grecia</v>
          </cell>
        </row>
        <row r="18">
          <cell r="G18" t="str">
            <v>Colombia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  <sheetName val="Sheet1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Japón</v>
          </cell>
        </row>
      </sheetData>
      <sheetData sheetId="4">
        <row r="17">
          <cell r="G17" t="str">
            <v>Uruguay</v>
          </cell>
        </row>
        <row r="18">
          <cell r="G18" t="str">
            <v>Inglaterra</v>
          </cell>
        </row>
      </sheetData>
      <sheetData sheetId="5">
        <row r="17">
          <cell r="G17" t="str">
            <v>Ecuador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República de Corea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Japón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Brasil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Japón</v>
          </cell>
        </row>
        <row r="18">
          <cell r="G18" t="str">
            <v>Colombia</v>
          </cell>
        </row>
      </sheetData>
      <sheetData sheetId="4">
        <row r="17">
          <cell r="G17" t="str">
            <v>Italia</v>
          </cell>
        </row>
        <row r="18">
          <cell r="G18" t="str">
            <v>Inglaterra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Rusia</v>
          </cell>
        </row>
        <row r="18">
          <cell r="G18" t="str">
            <v>Bélgica</v>
          </cell>
        </row>
      </sheetData>
      <sheetData sheetId="9"/>
      <sheetData sheetId="10"/>
      <sheetData sheetId="11"/>
      <sheetData sheetId="12">
        <row r="14">
          <cell r="I14" t="str">
            <v>Alemania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Rusia</v>
          </cell>
        </row>
        <row r="18">
          <cell r="G18" t="str">
            <v>Bélgica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Japón</v>
          </cell>
        </row>
        <row r="18">
          <cell r="G18" t="str">
            <v>Colombia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España</v>
          </cell>
        </row>
      </sheetData>
      <sheetData sheetId="13"/>
      <sheetData sheetId="14"/>
      <sheetData sheetId="15">
        <row r="23">
          <cell r="I23" t="str">
            <v>SI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Italia</v>
          </cell>
        </row>
        <row r="18">
          <cell r="G18" t="str">
            <v>Inglaterra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España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Países Bajos</v>
          </cell>
        </row>
        <row r="18">
          <cell r="G18" t="str">
            <v>España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Grecia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Ecuador</v>
          </cell>
        </row>
        <row r="18">
          <cell r="G18" t="str">
            <v>Francia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Argelia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Rusia</v>
          </cell>
        </row>
        <row r="18">
          <cell r="G18" t="str">
            <v>Bélgica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Camerún</v>
          </cell>
        </row>
      </sheetData>
      <sheetData sheetId="2">
        <row r="17">
          <cell r="G17" t="str">
            <v>Países Bajos</v>
          </cell>
        </row>
        <row r="18">
          <cell r="G18" t="str">
            <v>España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Brasil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Uruguay</v>
          </cell>
        </row>
        <row r="18">
          <cell r="G18" t="str">
            <v>Italia</v>
          </cell>
        </row>
      </sheetData>
      <sheetData sheetId="5">
        <row r="17">
          <cell r="G17" t="str">
            <v>Francia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Rusia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España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 refreshError="1"/>
      <sheetData sheetId="1">
        <row r="17">
          <cell r="G17" t="str">
            <v>Brasil</v>
          </cell>
        </row>
        <row r="18">
          <cell r="G18" t="str">
            <v>México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Italia</v>
          </cell>
        </row>
        <row r="18">
          <cell r="G18" t="str">
            <v>Inglaterra</v>
          </cell>
        </row>
      </sheetData>
      <sheetData sheetId="5">
        <row r="17">
          <cell r="G17" t="str">
            <v>Ecuador</v>
          </cell>
        </row>
        <row r="18">
          <cell r="G18" t="str">
            <v>Francia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República de Corea</v>
          </cell>
        </row>
      </sheetData>
      <sheetData sheetId="9" refreshError="1"/>
      <sheetData sheetId="10" refreshError="1"/>
      <sheetData sheetId="11" refreshError="1"/>
      <sheetData sheetId="12">
        <row r="14">
          <cell r="I14" t="str">
            <v>Alemania</v>
          </cell>
        </row>
      </sheetData>
      <sheetData sheetId="13" refreshError="1"/>
      <sheetData sheetId="14" refreshError="1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 refreshError="1"/>
      <sheetData sheetId="18">
        <row r="2">
          <cell r="A2" t="str">
            <v>PE</v>
          </cell>
        </row>
      </sheetData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Camerún</v>
          </cell>
        </row>
      </sheetData>
      <sheetData sheetId="2">
        <row r="17">
          <cell r="G17" t="str">
            <v>España</v>
          </cell>
        </row>
        <row r="18">
          <cell r="G18" t="str">
            <v>Países Bajos</v>
          </cell>
        </row>
      </sheetData>
      <sheetData sheetId="3">
        <row r="17">
          <cell r="G17" t="str">
            <v>Costa de Marfil</v>
          </cell>
        </row>
        <row r="18">
          <cell r="G18" t="str">
            <v>Colombia</v>
          </cell>
        </row>
      </sheetData>
      <sheetData sheetId="4">
        <row r="17">
          <cell r="G17" t="str">
            <v>Inglaterra</v>
          </cell>
        </row>
        <row r="18">
          <cell r="G18" t="str">
            <v>Uruguay</v>
          </cell>
        </row>
      </sheetData>
      <sheetData sheetId="5">
        <row r="17">
          <cell r="G17" t="str">
            <v>Francia</v>
          </cell>
        </row>
        <row r="18">
          <cell r="G18" t="str">
            <v>Suiza</v>
          </cell>
        </row>
      </sheetData>
      <sheetData sheetId="6">
        <row r="17">
          <cell r="G17" t="str">
            <v>Argentina</v>
          </cell>
        </row>
        <row r="18">
          <cell r="G18" t="str">
            <v>Nigeria</v>
          </cell>
        </row>
      </sheetData>
      <sheetData sheetId="7">
        <row r="17">
          <cell r="G17" t="str">
            <v>Alemania</v>
          </cell>
        </row>
        <row r="18">
          <cell r="G18" t="str">
            <v>Portugal</v>
          </cell>
        </row>
      </sheetData>
      <sheetData sheetId="8">
        <row r="17">
          <cell r="G17" t="str">
            <v>Bélgica</v>
          </cell>
        </row>
        <row r="18">
          <cell r="G18" t="str">
            <v>Argelia</v>
          </cell>
        </row>
      </sheetData>
      <sheetData sheetId="9"/>
      <sheetData sheetId="10"/>
      <sheetData sheetId="11"/>
      <sheetData sheetId="12">
        <row r="14">
          <cell r="I14" t="str">
            <v>Brasil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- A -"/>
      <sheetName val="- B -"/>
      <sheetName val="- C -"/>
      <sheetName val="- D -"/>
      <sheetName val="- E -"/>
      <sheetName val="- F -"/>
      <sheetName val="- G -"/>
      <sheetName val="- H -"/>
      <sheetName val="Octavos de Final"/>
      <sheetName val="Cuartos de Final"/>
      <sheetName val="Semifinal"/>
      <sheetName val="3er puesto y FINAL"/>
      <sheetName val="Fixture"/>
      <sheetName val="Quiniela"/>
      <sheetName val="Puntos"/>
      <sheetName val="Config"/>
      <sheetName val="Calculos"/>
      <sheetName val="Estadisticas"/>
    </sheetNames>
    <sheetDataSet>
      <sheetData sheetId="0"/>
      <sheetData sheetId="1">
        <row r="17">
          <cell r="G17" t="str">
            <v>Brasil</v>
          </cell>
        </row>
        <row r="18">
          <cell r="G18" t="str">
            <v>Croacia</v>
          </cell>
        </row>
      </sheetData>
      <sheetData sheetId="2">
        <row r="17">
          <cell r="G17" t="str">
            <v>España</v>
          </cell>
        </row>
        <row r="18">
          <cell r="G18" t="str">
            <v>Chile</v>
          </cell>
        </row>
      </sheetData>
      <sheetData sheetId="3">
        <row r="17">
          <cell r="G17" t="str">
            <v>Colombia</v>
          </cell>
        </row>
        <row r="18">
          <cell r="G18" t="str">
            <v>Costa de Marfil</v>
          </cell>
        </row>
      </sheetData>
      <sheetData sheetId="4">
        <row r="17">
          <cell r="G17" t="str">
            <v>Italia</v>
          </cell>
        </row>
        <row r="18">
          <cell r="G18" t="str">
            <v>Uruguay</v>
          </cell>
        </row>
      </sheetData>
      <sheetData sheetId="5">
        <row r="17">
          <cell r="G17" t="str">
            <v>Suiza</v>
          </cell>
        </row>
        <row r="18">
          <cell r="G18" t="str">
            <v>Ecuador</v>
          </cell>
        </row>
      </sheetData>
      <sheetData sheetId="6">
        <row r="17">
          <cell r="G17" t="str">
            <v>Argentina</v>
          </cell>
        </row>
        <row r="18">
          <cell r="G18" t="str">
            <v>Bosnia-Herzegovina</v>
          </cell>
        </row>
      </sheetData>
      <sheetData sheetId="7">
        <row r="17">
          <cell r="G17" t="str">
            <v>Portugal</v>
          </cell>
        </row>
        <row r="18">
          <cell r="G18" t="str">
            <v>Alemania</v>
          </cell>
        </row>
      </sheetData>
      <sheetData sheetId="8">
        <row r="17">
          <cell r="G17" t="str">
            <v>Bélgica</v>
          </cell>
        </row>
        <row r="18">
          <cell r="G18" t="str">
            <v>Argelia</v>
          </cell>
        </row>
      </sheetData>
      <sheetData sheetId="9"/>
      <sheetData sheetId="10"/>
      <sheetData sheetId="11"/>
      <sheetData sheetId="12">
        <row r="14">
          <cell r="I14" t="str">
            <v>Alemania</v>
          </cell>
        </row>
      </sheetData>
      <sheetData sheetId="13"/>
      <sheetData sheetId="14"/>
      <sheetData sheetId="15">
        <row r="23">
          <cell r="I23" t="str">
            <v>NO</v>
          </cell>
        </row>
      </sheetData>
      <sheetData sheetId="16">
        <row r="1">
          <cell r="O1" t="str">
            <v>Brasil</v>
          </cell>
          <cell r="Q1" t="str">
            <v>Brasil</v>
          </cell>
          <cell r="R1" t="str">
            <v>BR</v>
          </cell>
        </row>
        <row r="2">
          <cell r="O2" t="str">
            <v>México</v>
          </cell>
          <cell r="Q2" t="str">
            <v>Mexico</v>
          </cell>
          <cell r="R2" t="str">
            <v>MX</v>
          </cell>
        </row>
        <row r="3">
          <cell r="A3" t="str">
            <v>Seleccionar Zona Horaria:</v>
          </cell>
          <cell r="O3" t="str">
            <v>Croacia</v>
          </cell>
          <cell r="Q3" t="str">
            <v>Croacia</v>
          </cell>
          <cell r="R3" t="str">
            <v>HR</v>
          </cell>
        </row>
        <row r="4">
          <cell r="A4" t="str">
            <v>Afganistán - Afghanistan Time</v>
          </cell>
          <cell r="O4" t="str">
            <v>Camerún</v>
          </cell>
          <cell r="Q4" t="str">
            <v>Camerun</v>
          </cell>
          <cell r="R4" t="str">
            <v>CM</v>
          </cell>
        </row>
        <row r="5">
          <cell r="A5" t="str">
            <v>Albania - Central European Time</v>
          </cell>
          <cell r="O5" t="str">
            <v>España</v>
          </cell>
          <cell r="Q5" t="str">
            <v>España</v>
          </cell>
          <cell r="R5" t="str">
            <v>ES</v>
          </cell>
        </row>
        <row r="6">
          <cell r="A6" t="str">
            <v>Alemania - Central European Time</v>
          </cell>
          <cell r="O6" t="str">
            <v>Chile</v>
          </cell>
          <cell r="Q6" t="str">
            <v>Chile</v>
          </cell>
          <cell r="R6" t="str">
            <v>CL</v>
          </cell>
        </row>
        <row r="7">
          <cell r="A7" t="str">
            <v>Andorra - Central European Time</v>
          </cell>
          <cell r="O7" t="str">
            <v>Países Bajos</v>
          </cell>
          <cell r="Q7" t="str">
            <v>Holanda</v>
          </cell>
          <cell r="R7" t="str">
            <v>NL</v>
          </cell>
        </row>
        <row r="8">
          <cell r="A8" t="str">
            <v>Angola - West Africa Time</v>
          </cell>
          <cell r="O8" t="str">
            <v>Australia</v>
          </cell>
          <cell r="Q8" t="str">
            <v>Australia</v>
          </cell>
          <cell r="R8" t="str">
            <v>AU</v>
          </cell>
        </row>
        <row r="9">
          <cell r="A9" t="str">
            <v>Antigua y Barbuda - Atlantic Standard Time</v>
          </cell>
          <cell r="O9" t="str">
            <v>Colombia</v>
          </cell>
          <cell r="Q9" t="str">
            <v>Colombia</v>
          </cell>
          <cell r="R9" t="str">
            <v>CO</v>
          </cell>
        </row>
        <row r="10">
          <cell r="A10" t="str">
            <v>Arabia Saudí - Arab Standard Time</v>
          </cell>
          <cell r="O10" t="str">
            <v>Costa de Marfil</v>
          </cell>
          <cell r="Q10" t="str">
            <v>CostaDeMarfil</v>
          </cell>
          <cell r="R10" t="str">
            <v>CI</v>
          </cell>
        </row>
        <row r="11">
          <cell r="A11" t="str">
            <v>Argelia - Central European Time</v>
          </cell>
          <cell r="O11" t="str">
            <v>Grecia</v>
          </cell>
          <cell r="Q11" t="str">
            <v>Grecia</v>
          </cell>
          <cell r="R11" t="str">
            <v>GR</v>
          </cell>
        </row>
        <row r="12">
          <cell r="A12" t="str">
            <v>Argentina - Argentina Time</v>
          </cell>
          <cell r="O12" t="str">
            <v>Japón</v>
          </cell>
          <cell r="Q12" t="str">
            <v>Japon</v>
          </cell>
          <cell r="R12" t="str">
            <v>JP</v>
          </cell>
        </row>
        <row r="13">
          <cell r="A13" t="str">
            <v>Armenia - Armenia Time</v>
          </cell>
          <cell r="O13" t="str">
            <v>Uruguay</v>
          </cell>
          <cell r="Q13" t="str">
            <v>Uruguay</v>
          </cell>
          <cell r="R13" t="str">
            <v>UY</v>
          </cell>
        </row>
        <row r="14">
          <cell r="A14" t="str">
            <v>Aruba - Atlantic Standard Time</v>
          </cell>
          <cell r="O14" t="str">
            <v>Inglaterra</v>
          </cell>
          <cell r="Q14" t="str">
            <v>Inglaterra</v>
          </cell>
          <cell r="R14" t="str">
            <v>ENG</v>
          </cell>
        </row>
        <row r="15">
          <cell r="A15" t="str">
            <v>Australia - Australian Central Std Time</v>
          </cell>
          <cell r="O15" t="str">
            <v>Costa Rica</v>
          </cell>
          <cell r="Q15" t="str">
            <v>CostaRica</v>
          </cell>
          <cell r="R15" t="str">
            <v>CR</v>
          </cell>
        </row>
        <row r="16">
          <cell r="A16" t="str">
            <v>Australia - Norfolk Time</v>
          </cell>
          <cell r="O16" t="str">
            <v>Italia</v>
          </cell>
          <cell r="Q16" t="str">
            <v>Italia</v>
          </cell>
          <cell r="R16" t="str">
            <v>IT</v>
          </cell>
        </row>
        <row r="17">
          <cell r="A17" t="str">
            <v>Australia - Australian Eastern Std Time</v>
          </cell>
          <cell r="O17" t="str">
            <v>Suiza</v>
          </cell>
          <cell r="Q17" t="str">
            <v>Suiza</v>
          </cell>
          <cell r="R17" t="str">
            <v>CH</v>
          </cell>
        </row>
        <row r="18">
          <cell r="A18" t="str">
            <v>Australia - Australian Western Std Time</v>
          </cell>
          <cell r="O18" t="str">
            <v>Ecuador</v>
          </cell>
          <cell r="Q18" t="str">
            <v>Ecuador</v>
          </cell>
          <cell r="R18" t="str">
            <v>EC</v>
          </cell>
        </row>
        <row r="19">
          <cell r="A19" t="str">
            <v>Austria - Central European Time</v>
          </cell>
          <cell r="O19" t="str">
            <v>Honduras</v>
          </cell>
          <cell r="Q19" t="str">
            <v>Honduras</v>
          </cell>
          <cell r="R19" t="str">
            <v>HN</v>
          </cell>
        </row>
        <row r="20">
          <cell r="A20" t="str">
            <v>Azerbaiján - Azerbaijan Time</v>
          </cell>
          <cell r="O20" t="str">
            <v>Francia</v>
          </cell>
          <cell r="Q20" t="str">
            <v>Francia</v>
          </cell>
          <cell r="R20" t="str">
            <v>FR</v>
          </cell>
        </row>
        <row r="21">
          <cell r="A21" t="str">
            <v>Bahamas - Eastern Standard Time</v>
          </cell>
          <cell r="O21" t="str">
            <v>Argentina</v>
          </cell>
          <cell r="Q21" t="str">
            <v>Argentina</v>
          </cell>
          <cell r="R21" t="str">
            <v>AR</v>
          </cell>
        </row>
        <row r="22">
          <cell r="A22" t="str">
            <v>Bahrein</v>
          </cell>
          <cell r="O22" t="str">
            <v>Bosnia-Herzegovina</v>
          </cell>
          <cell r="Q22" t="str">
            <v>Bosnia</v>
          </cell>
          <cell r="R22" t="str">
            <v>BA</v>
          </cell>
        </row>
        <row r="23">
          <cell r="A23" t="str">
            <v>Bangladesh - Bangladesh Standard Time</v>
          </cell>
          <cell r="O23" t="str">
            <v>Irán</v>
          </cell>
          <cell r="Q23" t="str">
            <v>Iran</v>
          </cell>
          <cell r="R23" t="str">
            <v>IR</v>
          </cell>
        </row>
        <row r="24">
          <cell r="A24" t="str">
            <v>Barbados - Atlantic Standard Time</v>
          </cell>
          <cell r="O24" t="str">
            <v>Nigeria</v>
          </cell>
          <cell r="Q24" t="str">
            <v>Nigeria</v>
          </cell>
          <cell r="R24" t="str">
            <v>NG</v>
          </cell>
        </row>
        <row r="25">
          <cell r="A25" t="str">
            <v>Bélgica - Central European Time</v>
          </cell>
          <cell r="O25" t="str">
            <v>Alemania</v>
          </cell>
          <cell r="Q25" t="str">
            <v>Alemania</v>
          </cell>
          <cell r="R25" t="str">
            <v>DE</v>
          </cell>
        </row>
        <row r="26">
          <cell r="A26" t="str">
            <v>Belice</v>
          </cell>
          <cell r="O26" t="str">
            <v>Portugal</v>
          </cell>
          <cell r="Q26" t="str">
            <v>Portugal</v>
          </cell>
          <cell r="R26" t="str">
            <v>PT</v>
          </cell>
        </row>
        <row r="27">
          <cell r="A27" t="str">
            <v>Benín - West Africa Time</v>
          </cell>
          <cell r="O27" t="str">
            <v>Ghana</v>
          </cell>
          <cell r="Q27" t="str">
            <v>Ghana</v>
          </cell>
          <cell r="R27" t="str">
            <v>GH</v>
          </cell>
        </row>
        <row r="28">
          <cell r="A28" t="str">
            <v>Bermudas - Atlantic Standard Time</v>
          </cell>
          <cell r="O28" t="str">
            <v>EEUU</v>
          </cell>
          <cell r="Q28" t="str">
            <v>Usa</v>
          </cell>
          <cell r="R28" t="str">
            <v>US</v>
          </cell>
        </row>
        <row r="29">
          <cell r="A29" t="str">
            <v>Belarús - Eastern European Time</v>
          </cell>
          <cell r="O29" t="str">
            <v>Bélgica</v>
          </cell>
          <cell r="Q29" t="str">
            <v>Belgica</v>
          </cell>
          <cell r="R29" t="str">
            <v>BE</v>
          </cell>
        </row>
        <row r="30">
          <cell r="A30" t="str">
            <v>Bolivia - Bolivia Time</v>
          </cell>
          <cell r="O30" t="str">
            <v>Argelia</v>
          </cell>
          <cell r="Q30" t="str">
            <v>Argelia</v>
          </cell>
          <cell r="R30" t="str">
            <v>DZ</v>
          </cell>
        </row>
        <row r="31">
          <cell r="A31" t="str">
            <v>Bosnia Herzegovina - Central European Time</v>
          </cell>
          <cell r="O31" t="str">
            <v>Rusia</v>
          </cell>
          <cell r="Q31" t="str">
            <v>Rusia</v>
          </cell>
          <cell r="R31" t="str">
            <v>RU</v>
          </cell>
        </row>
        <row r="32">
          <cell r="A32" t="str">
            <v>Botswana - Central Africa Time</v>
          </cell>
          <cell r="O32" t="str">
            <v>República de Corea</v>
          </cell>
          <cell r="Q32" t="str">
            <v>CoreaDelSur</v>
          </cell>
          <cell r="R32" t="str">
            <v>KR</v>
          </cell>
        </row>
        <row r="33">
          <cell r="A33" t="str">
            <v>Brasil - Brasilia Time +1</v>
          </cell>
          <cell r="O33" t="str">
            <v>Sin Datos</v>
          </cell>
          <cell r="Q33" t="str">
            <v>SinDatos</v>
          </cell>
        </row>
        <row r="34">
          <cell r="A34" t="str">
            <v>Brasil - Brasilia Time</v>
          </cell>
        </row>
        <row r="35">
          <cell r="A35" t="str">
            <v>Brasil - Brasilia Time −1</v>
          </cell>
        </row>
        <row r="36">
          <cell r="A36" t="str">
            <v>Brunei - Brunei Time</v>
          </cell>
        </row>
        <row r="37">
          <cell r="A37" t="str">
            <v>Bulgaria - Eastern European Time</v>
          </cell>
        </row>
        <row r="38">
          <cell r="A38" t="str">
            <v>Burkina Faso - Greenwich Mean Time</v>
          </cell>
        </row>
        <row r="39">
          <cell r="A39" t="str">
            <v>Burundi - Central Africa Time</v>
          </cell>
        </row>
        <row r="40">
          <cell r="A40" t="str">
            <v>Bután - Bhutan Time</v>
          </cell>
        </row>
        <row r="41">
          <cell r="A41" t="str">
            <v>Cabo Verde - Cape Verde Time</v>
          </cell>
        </row>
        <row r="42">
          <cell r="A42" t="str">
            <v>Camboya</v>
          </cell>
        </row>
        <row r="43">
          <cell r="A43" t="str">
            <v>Camerún - West Africa Time</v>
          </cell>
        </row>
        <row r="44">
          <cell r="A44" t="str">
            <v>Canadá - Mountain Standard Time</v>
          </cell>
        </row>
        <row r="45">
          <cell r="A45" t="str">
            <v>Canadá - Central Standard Time</v>
          </cell>
        </row>
        <row r="46">
          <cell r="A46" t="str">
            <v>Canadá - Pacific Standard Time</v>
          </cell>
        </row>
        <row r="47">
          <cell r="A47" t="str">
            <v>Canadá - Newfoundland Time</v>
          </cell>
        </row>
        <row r="48">
          <cell r="A48" t="str">
            <v>Canadá - Atlantic Standard Time</v>
          </cell>
        </row>
        <row r="49">
          <cell r="A49" t="str">
            <v>Canadá - Eastern Standard Time</v>
          </cell>
        </row>
        <row r="50">
          <cell r="A50" t="str">
            <v>Chad - Cape Verde Time</v>
          </cell>
        </row>
        <row r="51">
          <cell r="A51" t="str">
            <v>Chile - Chile Standard Time</v>
          </cell>
        </row>
        <row r="52">
          <cell r="A52" t="str">
            <v>Chile - Easter Island Standard Time</v>
          </cell>
        </row>
        <row r="53">
          <cell r="A53" t="str">
            <v>China - China Standard Time</v>
          </cell>
        </row>
        <row r="54">
          <cell r="A54" t="str">
            <v>Chipre - Eastern European Time</v>
          </cell>
        </row>
        <row r="55">
          <cell r="A55" t="str">
            <v>Colombia - Colombia Time</v>
          </cell>
        </row>
        <row r="56">
          <cell r="A56" t="str">
            <v>Comores - East Africa Time</v>
          </cell>
        </row>
        <row r="57">
          <cell r="A57" t="str">
            <v>Congo - West Africa Time</v>
          </cell>
        </row>
        <row r="58">
          <cell r="A58" t="str">
            <v>Congo (República Democrática) - Central Africa Time</v>
          </cell>
        </row>
        <row r="59">
          <cell r="A59" t="str">
            <v>Congo (República Democrática) - West Africa Time</v>
          </cell>
        </row>
        <row r="60">
          <cell r="A60" t="str">
            <v>Corea del Norte - Korea Standard Time</v>
          </cell>
        </row>
        <row r="61">
          <cell r="A61" t="str">
            <v>Corea del Sur - Korea Standard Time</v>
          </cell>
        </row>
        <row r="62">
          <cell r="A62" t="str">
            <v>Costa de Marfil - Greenwich Mean Time</v>
          </cell>
        </row>
        <row r="63">
          <cell r="A63" t="str">
            <v>Costa Rica</v>
          </cell>
        </row>
        <row r="64">
          <cell r="A64" t="str">
            <v>Croacia - Central European Time</v>
          </cell>
        </row>
        <row r="65">
          <cell r="A65" t="str">
            <v>Cuba</v>
          </cell>
        </row>
        <row r="66">
          <cell r="A66" t="str">
            <v>Dinamarca - Central European Time</v>
          </cell>
        </row>
        <row r="67">
          <cell r="A67" t="str">
            <v>Dominica - Atlantic Standard Time</v>
          </cell>
        </row>
        <row r="68">
          <cell r="A68" t="str">
            <v>Ecuador - Galápagos Time</v>
          </cell>
        </row>
        <row r="69">
          <cell r="A69" t="str">
            <v>Ecuador - Ecuador Time</v>
          </cell>
        </row>
        <row r="70">
          <cell r="A70" t="str">
            <v>Egipto - Eastern European Time</v>
          </cell>
        </row>
        <row r="71">
          <cell r="A71" t="str">
            <v>El Salvador</v>
          </cell>
        </row>
        <row r="72">
          <cell r="A72" t="str">
            <v>El Vaticano - Central European Time</v>
          </cell>
        </row>
        <row r="73">
          <cell r="A73" t="str">
            <v>Emiratos Árabes Unidos - Arabian Standard Time</v>
          </cell>
        </row>
        <row r="74">
          <cell r="A74" t="str">
            <v>Eritrea - East Africa Time</v>
          </cell>
        </row>
        <row r="75">
          <cell r="A75" t="str">
            <v>Eslovaquia - Central European Time</v>
          </cell>
        </row>
        <row r="76">
          <cell r="A76" t="str">
            <v>Eslovenia - Central European Time</v>
          </cell>
        </row>
        <row r="77">
          <cell r="A77" t="str">
            <v>España (Islas Canarias) - Western European Time</v>
          </cell>
        </row>
        <row r="78">
          <cell r="A78" t="str">
            <v>España - Central European Time</v>
          </cell>
        </row>
        <row r="79">
          <cell r="A79" t="str">
            <v>Estados Unidos - Alaska Standard Time</v>
          </cell>
        </row>
        <row r="80">
          <cell r="A80" t="str">
            <v>Estados Unidos - Mountain Standard Time</v>
          </cell>
        </row>
        <row r="81">
          <cell r="A81" t="str">
            <v>Estados Unidos - Eastern Standard Time</v>
          </cell>
        </row>
        <row r="82">
          <cell r="A82" t="str">
            <v>Estados Unidos - Hawaii Standard Time</v>
          </cell>
        </row>
        <row r="83">
          <cell r="A83" t="str">
            <v>Estados Unidos - Central Standard Time</v>
          </cell>
        </row>
        <row r="84">
          <cell r="A84" t="str">
            <v>Estados Unidos - Pacific Standard Time</v>
          </cell>
        </row>
        <row r="85">
          <cell r="A85" t="str">
            <v>Estonia - Eastern European Time</v>
          </cell>
        </row>
        <row r="86">
          <cell r="A86" t="str">
            <v>Etiopía - East Africa Time</v>
          </cell>
        </row>
        <row r="87">
          <cell r="A87" t="str">
            <v>Filipinas</v>
          </cell>
        </row>
        <row r="88">
          <cell r="A88" t="str">
            <v>Finlandia - Eastern European Time</v>
          </cell>
        </row>
        <row r="89">
          <cell r="A89" t="str">
            <v>Fiji - Fiji Time</v>
          </cell>
        </row>
        <row r="90">
          <cell r="A90" t="str">
            <v>Francia - Central European Time</v>
          </cell>
        </row>
        <row r="91">
          <cell r="A91" t="str">
            <v>Guyana Francesa - French Guiana Time</v>
          </cell>
        </row>
        <row r="92">
          <cell r="A92" t="str">
            <v>Gabón - West Africa Time</v>
          </cell>
        </row>
        <row r="93">
          <cell r="A93" t="str">
            <v>Gambia - Greenwich Mean Time</v>
          </cell>
        </row>
        <row r="94">
          <cell r="A94" t="str">
            <v>Georgia</v>
          </cell>
        </row>
        <row r="95">
          <cell r="A95" t="str">
            <v>Ghana - Greenwich Mean Time</v>
          </cell>
        </row>
        <row r="96">
          <cell r="A96" t="str">
            <v>Gibraltar - Central European Time</v>
          </cell>
        </row>
        <row r="97">
          <cell r="A97" t="str">
            <v>Granada - Atlantic Standard Time</v>
          </cell>
        </row>
        <row r="98">
          <cell r="A98" t="str">
            <v>Grecia - Eastern European Time</v>
          </cell>
        </row>
        <row r="99">
          <cell r="A99" t="str">
            <v>Groenlandia - Central Greenland</v>
          </cell>
        </row>
        <row r="100">
          <cell r="A100" t="str">
            <v>Groenlandia - Ittoqqortoormiit, Tunu</v>
          </cell>
        </row>
        <row r="101">
          <cell r="A101" t="str">
            <v>Groenlandia - Northwestern Greenland</v>
          </cell>
        </row>
        <row r="102">
          <cell r="A102" t="str">
            <v>Groenlandia - Greenwich Mean Time</v>
          </cell>
        </row>
        <row r="103">
          <cell r="A103" t="str">
            <v>Guadalupe - Atlantic Standard Time</v>
          </cell>
        </row>
        <row r="104">
          <cell r="A104" t="str">
            <v>Guatemala</v>
          </cell>
        </row>
        <row r="105">
          <cell r="A105" t="str">
            <v>Guernsey - Greenwich Mean Time</v>
          </cell>
        </row>
        <row r="106">
          <cell r="A106" t="str">
            <v>Guinea - Greenwich Mean Time</v>
          </cell>
        </row>
        <row r="107">
          <cell r="A107" t="str">
            <v>Guinea Ecuatorial - West Africa Time</v>
          </cell>
        </row>
        <row r="108">
          <cell r="A108" t="str">
            <v>Guinea-Bissau - Greenwich Mean Time</v>
          </cell>
        </row>
        <row r="109">
          <cell r="A109" t="str">
            <v>Guyana - Guyana Time</v>
          </cell>
        </row>
        <row r="110">
          <cell r="A110" t="str">
            <v>Haití</v>
          </cell>
        </row>
        <row r="111">
          <cell r="A111" t="str">
            <v>Honduras</v>
          </cell>
        </row>
        <row r="112">
          <cell r="A112" t="str">
            <v>Hong Kong - Hong Kong Time</v>
          </cell>
        </row>
        <row r="113">
          <cell r="A113" t="str">
            <v>Hungría - Central European Time</v>
          </cell>
        </row>
        <row r="114">
          <cell r="A114" t="str">
            <v>India - Indian Standard Time</v>
          </cell>
        </row>
        <row r="115">
          <cell r="A115" t="str">
            <v>Indonesia - Eastern Indonesian Time</v>
          </cell>
        </row>
        <row r="116">
          <cell r="A116" t="str">
            <v>Indonesia - Central Indonesian Time</v>
          </cell>
        </row>
        <row r="117">
          <cell r="A117" t="str">
            <v>Indonesia - Western Indonesian Time</v>
          </cell>
        </row>
        <row r="118">
          <cell r="A118" t="str">
            <v>Irán - Iran Standard Time</v>
          </cell>
        </row>
        <row r="119">
          <cell r="A119" t="str">
            <v>Irak</v>
          </cell>
        </row>
        <row r="120">
          <cell r="A120" t="str">
            <v>Irlanda - Western European Time</v>
          </cell>
        </row>
        <row r="121">
          <cell r="A121" t="str">
            <v>Isla de Man - Greenwich Mean Time</v>
          </cell>
        </row>
        <row r="122">
          <cell r="A122" t="str">
            <v>Islandia - Greenwich Mean Time</v>
          </cell>
        </row>
        <row r="123">
          <cell r="A123" t="str">
            <v>Islas Caimán</v>
          </cell>
        </row>
        <row r="124">
          <cell r="A124" t="str">
            <v>Islas Marshall</v>
          </cell>
        </row>
        <row r="125">
          <cell r="A125" t="str">
            <v>Islas Salomón - Solomon Islands Time</v>
          </cell>
        </row>
        <row r="126">
          <cell r="A126" t="str">
            <v>Islas Vírgenes Británicas - Atlantic Standard Time</v>
          </cell>
        </row>
        <row r="127">
          <cell r="A127" t="str">
            <v>Israel - Israel Standard Time</v>
          </cell>
        </row>
        <row r="128">
          <cell r="A128" t="str">
            <v>Italia - Central European Time</v>
          </cell>
        </row>
        <row r="129">
          <cell r="A129" t="str">
            <v>Jamaica</v>
          </cell>
        </row>
        <row r="130">
          <cell r="A130" t="str">
            <v>Japón - Japan Standard Time</v>
          </cell>
        </row>
        <row r="131">
          <cell r="A131" t="str">
            <v>Jersey - Greenwich Mean Time</v>
          </cell>
        </row>
        <row r="132">
          <cell r="A132" t="str">
            <v>Jordania</v>
          </cell>
        </row>
        <row r="133">
          <cell r="A133" t="str">
            <v>Kazajistán - Eastern Kazakhstan Time</v>
          </cell>
        </row>
        <row r="134">
          <cell r="A134" t="str">
            <v>Kazajistán - Western Kazakhstan Time</v>
          </cell>
        </row>
        <row r="135">
          <cell r="A135" t="str">
            <v>Kenia - East Africa Time</v>
          </cell>
        </row>
        <row r="136">
          <cell r="A136" t="str">
            <v>Kirguizistán</v>
          </cell>
        </row>
        <row r="137">
          <cell r="A137" t="str">
            <v>Kiribati - Phoenix Island Time</v>
          </cell>
        </row>
        <row r="138">
          <cell r="A138" t="str">
            <v>Kiribati - Line Islands Time</v>
          </cell>
        </row>
        <row r="139">
          <cell r="A139" t="str">
            <v>Kiribati - Gilbert Island Time</v>
          </cell>
        </row>
        <row r="140">
          <cell r="A140" t="str">
            <v>Kosovo - Central European Time</v>
          </cell>
        </row>
        <row r="141">
          <cell r="A141" t="str">
            <v>Kuwait - Arab Standard Time</v>
          </cell>
        </row>
        <row r="142">
          <cell r="A142" t="str">
            <v>Laos</v>
          </cell>
        </row>
        <row r="143">
          <cell r="A143" t="str">
            <v>Lesoto</v>
          </cell>
        </row>
        <row r="144">
          <cell r="A144" t="str">
            <v>Letonia - Eastern European Time</v>
          </cell>
        </row>
        <row r="145">
          <cell r="A145" t="str">
            <v>Líbano - Eastern European Time</v>
          </cell>
        </row>
        <row r="146">
          <cell r="A146" t="str">
            <v>Liberia - Greenwich Mean Time</v>
          </cell>
        </row>
        <row r="147">
          <cell r="A147" t="str">
            <v>Libia - Eastern European Time</v>
          </cell>
        </row>
        <row r="148">
          <cell r="A148" t="str">
            <v>Liechtenstein - Central European Time</v>
          </cell>
        </row>
        <row r="149">
          <cell r="A149" t="str">
            <v>Lituania - Eastern European Time</v>
          </cell>
        </row>
        <row r="150">
          <cell r="A150" t="str">
            <v>Luxemburgo - Central European Time</v>
          </cell>
        </row>
        <row r="151">
          <cell r="A151" t="str">
            <v>Macao - Macau Standard Time</v>
          </cell>
        </row>
        <row r="152">
          <cell r="A152" t="str">
            <v>Macedonia - Central European Time</v>
          </cell>
        </row>
        <row r="153">
          <cell r="A153" t="str">
            <v>Madagascar - East Africa Time</v>
          </cell>
        </row>
        <row r="154">
          <cell r="A154" t="str">
            <v>Malasia - Malaysian Standard Time</v>
          </cell>
        </row>
        <row r="155">
          <cell r="A155" t="str">
            <v>Malawi - Central Africa Time</v>
          </cell>
        </row>
        <row r="156">
          <cell r="A156" t="str">
            <v>Maldivas</v>
          </cell>
        </row>
        <row r="157">
          <cell r="A157" t="str">
            <v>Malí - Greenwich Mean Time</v>
          </cell>
        </row>
        <row r="158">
          <cell r="A158" t="str">
            <v>Malta - Central European Time</v>
          </cell>
        </row>
        <row r="159">
          <cell r="A159" t="str">
            <v>Marruecos - Western European Time</v>
          </cell>
        </row>
        <row r="160">
          <cell r="A160" t="str">
            <v>Martinica - Atlantic Standard Time</v>
          </cell>
        </row>
        <row r="161">
          <cell r="A161" t="str">
            <v>Mauricio - Mauritius Time</v>
          </cell>
        </row>
        <row r="162">
          <cell r="A162" t="str">
            <v>Mauritania - Greenwich Mean Time</v>
          </cell>
        </row>
        <row r="163">
          <cell r="A163" t="str">
            <v>Mayotte</v>
          </cell>
        </row>
        <row r="164">
          <cell r="A164" t="str">
            <v>México - Central Zone</v>
          </cell>
        </row>
        <row r="165">
          <cell r="A165" t="str">
            <v>México - Northwest Zone</v>
          </cell>
        </row>
        <row r="166">
          <cell r="A166" t="str">
            <v>México - Pacific Zone</v>
          </cell>
        </row>
        <row r="167">
          <cell r="A167" t="str">
            <v>Micronesia - Chuuk, Yap</v>
          </cell>
        </row>
        <row r="168">
          <cell r="A168" t="str">
            <v>Micronesia - Kosrae, Pohnpei</v>
          </cell>
        </row>
        <row r="169">
          <cell r="A169" t="str">
            <v>Moldavia - Eastern European Time</v>
          </cell>
        </row>
        <row r="170">
          <cell r="A170" t="str">
            <v>Mónaco - Central European Time</v>
          </cell>
        </row>
        <row r="171">
          <cell r="A171" t="str">
            <v>Mongolia - Khovd, Uvs, Bayan-Ölgii</v>
          </cell>
        </row>
        <row r="172">
          <cell r="A172" t="str">
            <v>Mongolia</v>
          </cell>
        </row>
        <row r="173">
          <cell r="A173" t="str">
            <v>Montenegro - Central European Time</v>
          </cell>
        </row>
        <row r="174">
          <cell r="A174" t="str">
            <v>Mozambique - Central Africa Time</v>
          </cell>
        </row>
        <row r="175">
          <cell r="A175" t="str">
            <v>Myanmar - Myanmar Standard Time</v>
          </cell>
        </row>
        <row r="176">
          <cell r="A176" t="str">
            <v>Namibia - West Africa Time</v>
          </cell>
        </row>
        <row r="177">
          <cell r="A177" t="str">
            <v>Nauru</v>
          </cell>
        </row>
        <row r="178">
          <cell r="A178" t="str">
            <v>Nepal - Nepal Time</v>
          </cell>
        </row>
        <row r="179">
          <cell r="A179" t="str">
            <v>New Caledonia</v>
          </cell>
        </row>
        <row r="180">
          <cell r="A180" t="str">
            <v>Nicaragua</v>
          </cell>
        </row>
        <row r="181">
          <cell r="A181" t="str">
            <v>Níger - West Africa Time</v>
          </cell>
        </row>
        <row r="182">
          <cell r="A182" t="str">
            <v>Nigeria - West Africa Time</v>
          </cell>
        </row>
        <row r="183">
          <cell r="A183" t="str">
            <v>Noruega - Central European Time</v>
          </cell>
        </row>
        <row r="184">
          <cell r="A184" t="str">
            <v>Nueva Zelanda</v>
          </cell>
        </row>
        <row r="185">
          <cell r="A185" t="str">
            <v>Omán</v>
          </cell>
        </row>
        <row r="186">
          <cell r="A186" t="str">
            <v>Países Bajos - Central European Time</v>
          </cell>
        </row>
        <row r="187">
          <cell r="A187" t="str">
            <v>Pakistán - Pakistan Standard Time</v>
          </cell>
        </row>
        <row r="188">
          <cell r="A188" t="str">
            <v>Palaos</v>
          </cell>
        </row>
        <row r="189">
          <cell r="A189" t="str">
            <v>Panamá</v>
          </cell>
        </row>
        <row r="190">
          <cell r="A190" t="str">
            <v>Papúa-Nueva Guinea</v>
          </cell>
        </row>
        <row r="191">
          <cell r="A191" t="str">
            <v>Paraguay</v>
          </cell>
        </row>
        <row r="192">
          <cell r="A192" t="str">
            <v>Perú</v>
          </cell>
        </row>
        <row r="193">
          <cell r="A193" t="str">
            <v>Polinesia Francesa - Tahiti Time</v>
          </cell>
        </row>
        <row r="194">
          <cell r="A194" t="str">
            <v>Polinesia Francesa</v>
          </cell>
        </row>
        <row r="195">
          <cell r="A195" t="str">
            <v>Polinesia Francesa</v>
          </cell>
        </row>
        <row r="196">
          <cell r="A196" t="str">
            <v>Polonia - Central European Time</v>
          </cell>
        </row>
        <row r="197">
          <cell r="A197" t="str">
            <v>Portugal - Azores Standard Time</v>
          </cell>
        </row>
        <row r="198">
          <cell r="A198" t="str">
            <v>Portugal - Western European Time</v>
          </cell>
        </row>
        <row r="199">
          <cell r="A199" t="str">
            <v>Puerto Rico - Atlantic Standard Time</v>
          </cell>
        </row>
        <row r="200">
          <cell r="A200" t="str">
            <v>Qatar - Arab Standard Time</v>
          </cell>
        </row>
        <row r="201">
          <cell r="A201" t="str">
            <v>Reino Unido - Greenwich Mean Time</v>
          </cell>
        </row>
        <row r="202">
          <cell r="A202" t="str">
            <v>República Centroafricana - West Africa Time</v>
          </cell>
        </row>
        <row r="203">
          <cell r="A203" t="str">
            <v>República Checa - Central European Time</v>
          </cell>
        </row>
        <row r="204">
          <cell r="A204" t="str">
            <v>República Dominicana - Atlantic Standard Time</v>
          </cell>
        </row>
        <row r="205">
          <cell r="A205" t="str">
            <v>Reunion - Reunion Time</v>
          </cell>
        </row>
        <row r="206">
          <cell r="A206" t="str">
            <v>Ruanda - Central Africa Time</v>
          </cell>
        </row>
        <row r="207">
          <cell r="A207" t="str">
            <v>Rumania - Eastern European Time</v>
          </cell>
        </row>
        <row r="208">
          <cell r="A208" t="str">
            <v>Rusia - Kaliningrad Time (Eastern European Time)</v>
          </cell>
        </row>
        <row r="209">
          <cell r="A209" t="str">
            <v>Rusia - Moscow Standard Time</v>
          </cell>
        </row>
        <row r="210">
          <cell r="A210" t="str">
            <v>Rusia - Yakutsk Time</v>
          </cell>
        </row>
        <row r="211">
          <cell r="A211" t="str">
            <v>Rusia - Irkutsk Time</v>
          </cell>
        </row>
        <row r="212">
          <cell r="A212" t="str">
            <v>Rusia - Samara Time</v>
          </cell>
        </row>
        <row r="213">
          <cell r="A213" t="str">
            <v>Rusia - Yekaterinburg Time</v>
          </cell>
        </row>
        <row r="214">
          <cell r="A214" t="str">
            <v>Rusia - Vladivostok Time</v>
          </cell>
        </row>
        <row r="215">
          <cell r="A215" t="str">
            <v>Rusia - Omsk Time</v>
          </cell>
        </row>
        <row r="216">
          <cell r="A216" t="str">
            <v>Rusia - Magadan Time</v>
          </cell>
        </row>
        <row r="217">
          <cell r="A217" t="str">
            <v>Rusia - Krasnoyarsk Time</v>
          </cell>
        </row>
        <row r="218">
          <cell r="A218" t="str">
            <v>Rusia - Kamchatka Time</v>
          </cell>
        </row>
        <row r="219">
          <cell r="A219" t="str">
            <v>Samoa</v>
          </cell>
        </row>
        <row r="220">
          <cell r="A220" t="str">
            <v>San Bartolomé - Atlantic Standard Time</v>
          </cell>
        </row>
        <row r="221">
          <cell r="A221" t="str">
            <v>San Cristóbal y Nieves - Atlantic Standard Time</v>
          </cell>
        </row>
        <row r="222">
          <cell r="A222" t="str">
            <v>San Marino - Central European Time</v>
          </cell>
        </row>
        <row r="223">
          <cell r="A223" t="str">
            <v>San Martín - Atlantic Standard Time</v>
          </cell>
        </row>
        <row r="224">
          <cell r="A224" t="str">
            <v>San Pedro y Miguelón</v>
          </cell>
        </row>
        <row r="225">
          <cell r="A225" t="str">
            <v>San Vicente y las Granadinas - Atlantic Standard Time</v>
          </cell>
        </row>
        <row r="226">
          <cell r="A226" t="str">
            <v>Santa Lucía - Atlantic Standard Time</v>
          </cell>
        </row>
        <row r="227">
          <cell r="A227" t="str">
            <v>Santo Tomé y Príncipe - Greenwich Mean Time</v>
          </cell>
        </row>
        <row r="228">
          <cell r="A228" t="str">
            <v>Senegal - Greenwich Mean Time</v>
          </cell>
        </row>
        <row r="229">
          <cell r="A229" t="str">
            <v>Serbia - Central European Time</v>
          </cell>
        </row>
        <row r="230">
          <cell r="A230" t="str">
            <v>Seychelles - Seychelles Time</v>
          </cell>
        </row>
        <row r="231">
          <cell r="A231" t="str">
            <v>Sierra Leona - Greenwich Mean Time</v>
          </cell>
        </row>
        <row r="232">
          <cell r="A232" t="str">
            <v>Singapur - Singapore Standard Time</v>
          </cell>
        </row>
        <row r="233">
          <cell r="A233" t="str">
            <v>Siria - Eastern European Time</v>
          </cell>
        </row>
        <row r="234">
          <cell r="A234" t="str">
            <v>Somalia - East Africa Time</v>
          </cell>
        </row>
        <row r="235">
          <cell r="A235" t="str">
            <v>Sri Lanka - Sri Lanka Time</v>
          </cell>
        </row>
        <row r="236">
          <cell r="A236" t="str">
            <v>Suazilandia</v>
          </cell>
        </row>
        <row r="237">
          <cell r="A237" t="str">
            <v>Sudáfrica - South African Standard Time</v>
          </cell>
        </row>
        <row r="238">
          <cell r="A238" t="str">
            <v>Sudán - East Africa Time</v>
          </cell>
        </row>
        <row r="239">
          <cell r="A239" t="str">
            <v>Suecia - Central European Time</v>
          </cell>
        </row>
        <row r="240">
          <cell r="A240" t="str">
            <v>Suiza - Central European Time</v>
          </cell>
        </row>
        <row r="241">
          <cell r="A241" t="str">
            <v>Surinam</v>
          </cell>
        </row>
        <row r="242">
          <cell r="A242" t="str">
            <v>Tailandia - Thailand Standard Time</v>
          </cell>
        </row>
        <row r="243">
          <cell r="A243" t="str">
            <v>Tanzania - East Africa Time</v>
          </cell>
        </row>
        <row r="244">
          <cell r="A244" t="str">
            <v>Tajikistán</v>
          </cell>
        </row>
        <row r="245">
          <cell r="A245" t="str">
            <v>Timor Oriental</v>
          </cell>
        </row>
        <row r="246">
          <cell r="A246" t="str">
            <v>Togo - Greenwich Mean Time</v>
          </cell>
        </row>
        <row r="247">
          <cell r="A247" t="str">
            <v>Tonga</v>
          </cell>
        </row>
        <row r="248">
          <cell r="A248" t="str">
            <v>Trinidad y Tobago - Atlantic Standard Time</v>
          </cell>
        </row>
        <row r="249">
          <cell r="A249" t="str">
            <v>Túnez - Central European Time</v>
          </cell>
        </row>
        <row r="250">
          <cell r="A250" t="str">
            <v>Turcas y Caicos</v>
          </cell>
        </row>
        <row r="251">
          <cell r="A251" t="str">
            <v>Turkmenistán</v>
          </cell>
        </row>
        <row r="252">
          <cell r="A252" t="str">
            <v>Turquía - Eastern European Time</v>
          </cell>
        </row>
        <row r="253">
          <cell r="A253" t="str">
            <v>Tuvalu</v>
          </cell>
        </row>
        <row r="254">
          <cell r="A254" t="str">
            <v>Ucrania - Eastern European Time</v>
          </cell>
        </row>
        <row r="255">
          <cell r="A255" t="str">
            <v>Uganda - East Africa Time</v>
          </cell>
        </row>
        <row r="256">
          <cell r="A256" t="str">
            <v>Uruguay - Uruguay Standard Time</v>
          </cell>
        </row>
        <row r="257">
          <cell r="A257" t="str">
            <v>Uzbekistán - Uzbekistan Time</v>
          </cell>
        </row>
        <row r="258">
          <cell r="A258" t="str">
            <v>Vanuatu</v>
          </cell>
        </row>
        <row r="259">
          <cell r="A259" t="str">
            <v>Venezuela - Venezuelan Standard Time</v>
          </cell>
        </row>
        <row r="260">
          <cell r="A260" t="str">
            <v>Vietnam</v>
          </cell>
        </row>
        <row r="261">
          <cell r="A261" t="str">
            <v>Wallis y Futuna</v>
          </cell>
        </row>
        <row r="262">
          <cell r="A262" t="str">
            <v>Yemen</v>
          </cell>
        </row>
        <row r="263">
          <cell r="A263" t="str">
            <v>Yibuti - East Africa Time</v>
          </cell>
        </row>
        <row r="264">
          <cell r="A264" t="str">
            <v>Zambia - Central Africa Time</v>
          </cell>
        </row>
        <row r="265">
          <cell r="A265" t="str">
            <v>Zimbabwe - Central Africa Time</v>
          </cell>
        </row>
      </sheetData>
      <sheetData sheetId="17"/>
      <sheetData sheetId="18">
        <row r="2">
          <cell r="A2" t="str">
            <v>PE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undialsudafrica.com/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9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2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3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22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24.v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1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1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30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31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antoniogonmo34@gmail.com" TargetMode="External"/><Relationship Id="rId4" Type="http://schemas.openxmlformats.org/officeDocument/2006/relationships/comments" Target="../comments23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jandresgimenez@gmail.com" TargetMode="External"/><Relationship Id="rId4" Type="http://schemas.openxmlformats.org/officeDocument/2006/relationships/comments" Target="../comments2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22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23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24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25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26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9.vml"/><Relationship Id="rId1" Type="http://schemas.openxmlformats.org/officeDocument/2006/relationships/printerSettings" Target="../printerSettings/printerSettings27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40.v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A56"/>
  <sheetViews>
    <sheetView showGridLines="0" showRowColHeaders="0" workbookViewId="0"/>
  </sheetViews>
  <sheetFormatPr defaultColWidth="11.42578125" defaultRowHeight="15" x14ac:dyDescent="0.25"/>
  <cols>
    <col min="1" max="6" width="11.7109375" customWidth="1"/>
    <col min="7" max="7" width="9.7109375" customWidth="1"/>
    <col min="8" max="8" width="3.7109375" customWidth="1"/>
    <col min="9" max="9" width="19.7109375" customWidth="1"/>
    <col min="10" max="10" width="2.7109375" customWidth="1"/>
    <col min="11" max="11" width="19.7109375" customWidth="1"/>
    <col min="12" max="56" width="11.7109375" customWidth="1"/>
  </cols>
  <sheetData>
    <row r="1" spans="1:27" ht="12.95" customHeight="1" x14ac:dyDescent="0.25">
      <c r="A1" s="1"/>
      <c r="B1" s="1"/>
      <c r="C1" s="1"/>
      <c r="D1" s="1"/>
      <c r="E1" s="1"/>
      <c r="F1" s="1"/>
      <c r="G1" s="1"/>
      <c r="H1" s="1"/>
      <c r="I1" s="2"/>
      <c r="J1" s="2"/>
      <c r="K1" s="2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6.1" customHeight="1" x14ac:dyDescent="0.35">
      <c r="A2" s="1"/>
      <c r="B2" s="543" t="s">
        <v>0</v>
      </c>
      <c r="C2" s="543"/>
      <c r="D2" s="543"/>
      <c r="E2" s="543"/>
      <c r="F2" s="543"/>
      <c r="G2" s="543"/>
      <c r="H2" s="543"/>
      <c r="I2" s="543"/>
      <c r="J2" s="543"/>
      <c r="K2" s="543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" customHeight="1" x14ac:dyDescent="0.25">
      <c r="A3" s="1"/>
      <c r="B3" s="544" t="s">
        <v>1</v>
      </c>
      <c r="C3" s="544"/>
      <c r="D3" s="544"/>
      <c r="E3" s="544"/>
      <c r="F3" s="544"/>
      <c r="G3" s="544"/>
      <c r="H3" s="544"/>
      <c r="I3" s="544"/>
      <c r="J3" s="544"/>
      <c r="K3" s="544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26.1" customHeight="1" thickBot="1" x14ac:dyDescent="0.35">
      <c r="A4" s="1"/>
      <c r="B4" s="545" t="s">
        <v>2</v>
      </c>
      <c r="C4" s="545"/>
      <c r="D4" s="545"/>
      <c r="E4" s="545"/>
      <c r="F4" s="545"/>
      <c r="G4" s="545"/>
      <c r="H4" s="545"/>
      <c r="I4" s="545"/>
      <c r="J4" s="545"/>
      <c r="K4" s="545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thickBot="1" x14ac:dyDescent="0.3">
      <c r="A5" s="3"/>
      <c r="B5" s="3"/>
      <c r="C5" s="3"/>
      <c r="D5" s="3"/>
      <c r="E5" s="3"/>
      <c r="F5" s="3"/>
      <c r="G5" s="3"/>
      <c r="H5" s="3"/>
      <c r="I5" s="4" t="s">
        <v>3</v>
      </c>
      <c r="J5" s="5"/>
      <c r="K5" s="4" t="s">
        <v>4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27" ht="14.1" customHeight="1" thickBot="1" x14ac:dyDescent="0.3">
      <c r="A6" s="3"/>
      <c r="B6" s="3"/>
      <c r="C6" s="3"/>
      <c r="D6" s="3"/>
      <c r="E6" s="3"/>
      <c r="F6" s="3"/>
      <c r="G6" s="3"/>
      <c r="H6" s="3"/>
      <c r="I6" s="5"/>
      <c r="J6" s="5"/>
      <c r="K6" s="5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27" ht="18" customHeight="1" thickBot="1" x14ac:dyDescent="0.3">
      <c r="A7" s="3"/>
      <c r="B7" s="3"/>
      <c r="C7" s="3"/>
      <c r="D7" s="3"/>
      <c r="E7" s="3"/>
      <c r="F7" s="3"/>
      <c r="G7" s="3"/>
      <c r="H7" s="3"/>
      <c r="I7" s="4" t="s">
        <v>5</v>
      </c>
      <c r="J7" s="5"/>
      <c r="K7" s="4" t="s">
        <v>6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</row>
    <row r="8" spans="1:27" ht="14.1" customHeight="1" thickBot="1" x14ac:dyDescent="0.3">
      <c r="A8" s="3"/>
      <c r="B8" s="3"/>
      <c r="C8" s="3"/>
      <c r="D8" s="3"/>
      <c r="E8" s="3"/>
      <c r="F8" s="3"/>
      <c r="G8" s="3"/>
      <c r="H8" s="3"/>
      <c r="I8" s="5"/>
      <c r="J8" s="5"/>
      <c r="K8" s="5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7" ht="18" customHeight="1" thickBot="1" x14ac:dyDescent="0.3">
      <c r="A9" s="3"/>
      <c r="B9" s="3"/>
      <c r="C9" s="3"/>
      <c r="D9" s="3"/>
      <c r="E9" s="3"/>
      <c r="F9" s="3"/>
      <c r="G9" s="3"/>
      <c r="H9" s="3"/>
      <c r="I9" s="4" t="s">
        <v>7</v>
      </c>
      <c r="J9" s="5"/>
      <c r="K9" s="4" t="s">
        <v>8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</row>
    <row r="10" spans="1:27" ht="14.1" customHeight="1" thickBot="1" x14ac:dyDescent="0.3">
      <c r="A10" s="3"/>
      <c r="B10" s="3"/>
      <c r="C10" s="3"/>
      <c r="D10" s="3"/>
      <c r="E10" s="3"/>
      <c r="F10" s="3"/>
      <c r="G10" s="3"/>
      <c r="H10" s="3"/>
      <c r="I10" s="5"/>
      <c r="J10" s="5"/>
      <c r="K10" s="5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</row>
    <row r="11" spans="1:27" ht="18" customHeight="1" thickBot="1" x14ac:dyDescent="0.3">
      <c r="A11" s="3"/>
      <c r="B11" s="3"/>
      <c r="C11" s="3"/>
      <c r="D11" s="3"/>
      <c r="E11" s="3"/>
      <c r="F11" s="3"/>
      <c r="G11" s="3"/>
      <c r="H11" s="3"/>
      <c r="I11" s="4" t="s">
        <v>9</v>
      </c>
      <c r="J11" s="5"/>
      <c r="K11" s="4" t="s">
        <v>10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</row>
    <row r="12" spans="1:27" ht="14.1" customHeight="1" thickBot="1" x14ac:dyDescent="0.3">
      <c r="A12" s="3"/>
      <c r="B12" s="3"/>
      <c r="C12" s="3"/>
      <c r="D12" s="3"/>
      <c r="E12" s="3"/>
      <c r="F12" s="3"/>
      <c r="G12" s="3"/>
      <c r="H12" s="3"/>
      <c r="I12" s="5"/>
      <c r="J12" s="5"/>
      <c r="K12" s="5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</row>
    <row r="13" spans="1:27" ht="18" customHeight="1" thickBot="1" x14ac:dyDescent="0.3">
      <c r="A13" s="3"/>
      <c r="B13" s="3"/>
      <c r="C13" s="3"/>
      <c r="D13" s="3"/>
      <c r="E13" s="3"/>
      <c r="F13" s="3"/>
      <c r="G13" s="3"/>
      <c r="H13" s="3"/>
      <c r="I13" s="4" t="s">
        <v>11</v>
      </c>
      <c r="J13" s="5"/>
      <c r="K13" s="4" t="s">
        <v>544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</row>
    <row r="14" spans="1:27" ht="14.1" customHeight="1" thickBot="1" x14ac:dyDescent="0.3">
      <c r="A14" s="3"/>
      <c r="B14" s="3"/>
      <c r="C14" s="3"/>
      <c r="D14" s="3"/>
      <c r="E14" s="3"/>
      <c r="F14" s="3"/>
      <c r="G14" s="3"/>
      <c r="H14" s="3"/>
      <c r="I14" s="5"/>
      <c r="J14" s="5"/>
      <c r="K14" s="5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</row>
    <row r="15" spans="1:27" ht="18" customHeight="1" thickBot="1" x14ac:dyDescent="0.3">
      <c r="A15" s="3"/>
      <c r="B15" s="3"/>
      <c r="C15" s="3"/>
      <c r="D15" s="3"/>
      <c r="E15" s="3"/>
      <c r="F15" s="3"/>
      <c r="G15" s="3"/>
      <c r="H15" s="3"/>
      <c r="I15" s="4" t="s">
        <v>12</v>
      </c>
      <c r="J15" s="6"/>
      <c r="K15" s="4" t="s">
        <v>13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1:27" ht="14.1" customHeight="1" thickBot="1" x14ac:dyDescent="0.3">
      <c r="A16" s="3"/>
      <c r="B16" s="3"/>
      <c r="C16" s="3"/>
      <c r="D16" s="3"/>
      <c r="E16" s="3"/>
      <c r="F16" s="3"/>
      <c r="G16" s="3"/>
      <c r="H16" s="3"/>
      <c r="I16" s="7"/>
      <c r="J16" s="7"/>
      <c r="K16" s="7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27" ht="18" customHeight="1" thickBot="1" x14ac:dyDescent="0.3">
      <c r="A17" s="3"/>
      <c r="B17" s="3"/>
      <c r="C17" s="3"/>
      <c r="D17" s="3"/>
      <c r="E17" s="3"/>
      <c r="F17" s="3"/>
      <c r="G17" s="3"/>
      <c r="H17" s="3"/>
      <c r="I17" s="546" t="s">
        <v>14</v>
      </c>
      <c r="J17" s="547"/>
      <c r="K17" s="548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27" ht="12.95" customHeight="1" x14ac:dyDescent="0.25">
      <c r="A18" s="1"/>
      <c r="B18" s="1"/>
      <c r="C18" s="1"/>
      <c r="D18" s="1"/>
      <c r="E18" s="1"/>
      <c r="F18" s="1"/>
      <c r="G18" s="1"/>
      <c r="H18" s="1"/>
      <c r="I18" s="8"/>
      <c r="J18" s="8"/>
      <c r="K18" s="8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4.1" customHeight="1" thickBot="1" x14ac:dyDescent="0.3">
      <c r="A19" s="1"/>
      <c r="B19" s="549" t="s">
        <v>15</v>
      </c>
      <c r="C19" s="549"/>
      <c r="D19" s="549"/>
      <c r="E19" s="1"/>
      <c r="F19" s="1"/>
      <c r="G19" s="1"/>
      <c r="H19" s="1"/>
      <c r="I19" s="2"/>
      <c r="J19" s="9"/>
      <c r="K19" s="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thickBot="1" x14ac:dyDescent="0.3">
      <c r="A20" s="1"/>
      <c r="B20" s="1"/>
      <c r="C20" s="1"/>
      <c r="D20" s="1"/>
      <c r="E20" s="1"/>
      <c r="F20" s="1"/>
      <c r="G20" s="1"/>
      <c r="H20" s="10"/>
      <c r="I20" s="550" t="s">
        <v>16</v>
      </c>
      <c r="J20" s="551"/>
      <c r="K20" s="552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2.95" customHeight="1" thickBot="1" x14ac:dyDescent="0.3">
      <c r="A21" s="1"/>
      <c r="B21" s="1"/>
      <c r="C21" s="1"/>
      <c r="D21" s="1"/>
      <c r="E21" s="541"/>
      <c r="F21" s="541"/>
      <c r="G21" s="541"/>
      <c r="H21" s="11"/>
      <c r="I21" s="2"/>
      <c r="J21" s="2"/>
      <c r="K21" s="2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thickBot="1" x14ac:dyDescent="0.3">
      <c r="A22" s="1"/>
      <c r="B22" s="1"/>
      <c r="C22" s="1"/>
      <c r="D22" s="1"/>
      <c r="E22" s="1"/>
      <c r="F22" s="12"/>
      <c r="G22" s="1"/>
      <c r="H22" s="13"/>
      <c r="I22" s="553" t="s">
        <v>559</v>
      </c>
      <c r="J22" s="554"/>
      <c r="K22" s="555"/>
      <c r="L22" s="2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2.95" customHeight="1" x14ac:dyDescent="0.25">
      <c r="A23" s="1"/>
      <c r="B23" s="1"/>
      <c r="C23" s="1"/>
      <c r="D23" s="1"/>
      <c r="E23" s="542"/>
      <c r="F23" s="542"/>
      <c r="G23" s="542"/>
      <c r="H23" s="1"/>
      <c r="I23" s="2"/>
      <c r="J23" s="2"/>
      <c r="K23" s="2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2.95" customHeight="1" x14ac:dyDescent="0.25">
      <c r="A24" s="1"/>
      <c r="B24" s="1"/>
      <c r="C24" s="1"/>
      <c r="D24" s="1"/>
      <c r="E24" s="1"/>
      <c r="F24" s="1"/>
      <c r="G24" s="1"/>
      <c r="H24" s="1"/>
      <c r="I24" s="2"/>
      <c r="J24" s="2"/>
      <c r="K24" s="2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2.95" customHeight="1" x14ac:dyDescent="0.25">
      <c r="A25" s="1"/>
      <c r="B25" s="1"/>
      <c r="C25" s="1"/>
      <c r="D25" s="1"/>
      <c r="E25" s="1"/>
      <c r="F25" s="1"/>
      <c r="G25" s="1"/>
      <c r="H25" s="1"/>
      <c r="I25" s="2"/>
      <c r="J25" s="2"/>
      <c r="K25" s="2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2.95" customHeight="1" x14ac:dyDescent="0.25">
      <c r="A26" s="1"/>
      <c r="B26" s="1"/>
      <c r="C26" s="1"/>
      <c r="D26" s="1"/>
      <c r="E26" s="1"/>
      <c r="F26" s="1"/>
      <c r="G26" s="1"/>
      <c r="H26" s="1"/>
      <c r="I26" s="2"/>
      <c r="J26" s="2"/>
      <c r="K26" s="2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2.95" customHeight="1" x14ac:dyDescent="0.25">
      <c r="A27" s="1"/>
      <c r="B27" s="1"/>
      <c r="C27" s="1"/>
      <c r="D27" s="1"/>
      <c r="E27" s="1"/>
      <c r="F27" s="1"/>
      <c r="G27" s="1"/>
      <c r="H27" s="1"/>
      <c r="I27" s="2"/>
      <c r="J27" s="2"/>
      <c r="K27" s="2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2.95" customHeight="1" x14ac:dyDescent="0.25">
      <c r="A28" s="1"/>
      <c r="B28" s="1"/>
      <c r="C28" s="1"/>
      <c r="D28" s="1"/>
      <c r="E28" s="1"/>
      <c r="F28" s="1"/>
      <c r="G28" s="1"/>
      <c r="H28" s="1"/>
      <c r="I28" s="2"/>
      <c r="J28" s="2"/>
      <c r="K28" s="2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2.95" customHeight="1" x14ac:dyDescent="0.25">
      <c r="A29" s="1"/>
      <c r="B29" s="1"/>
      <c r="C29" s="1"/>
      <c r="D29" s="1"/>
      <c r="E29" s="1"/>
      <c r="F29" s="1"/>
      <c r="G29" s="1"/>
      <c r="H29" s="1"/>
      <c r="I29" s="2"/>
      <c r="J29" s="2"/>
      <c r="K29" s="2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2.95" customHeight="1" x14ac:dyDescent="0.25">
      <c r="A30" s="1"/>
      <c r="B30" s="1"/>
      <c r="C30" s="1"/>
      <c r="D30" s="1"/>
      <c r="E30" s="1"/>
      <c r="F30" s="1"/>
      <c r="G30" s="1"/>
      <c r="H30" s="1"/>
      <c r="I30" s="2"/>
      <c r="J30" s="2"/>
      <c r="K30" s="2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2.95" customHeight="1" x14ac:dyDescent="0.25">
      <c r="A31" s="1"/>
      <c r="B31" s="1"/>
      <c r="C31" s="1"/>
      <c r="D31" s="1"/>
      <c r="E31" s="1"/>
      <c r="F31" s="1"/>
      <c r="G31" s="1"/>
      <c r="H31" s="1"/>
      <c r="I31" s="2"/>
      <c r="J31" s="2"/>
      <c r="K31" s="2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2.95" customHeight="1" x14ac:dyDescent="0.25">
      <c r="A32" s="1"/>
      <c r="B32" s="1"/>
      <c r="C32" s="1"/>
      <c r="D32" s="1"/>
      <c r="E32" s="1"/>
      <c r="F32" s="1"/>
      <c r="G32" s="1"/>
      <c r="H32" s="1"/>
      <c r="I32" s="2"/>
      <c r="J32" s="2"/>
      <c r="K32" s="2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2.95" customHeight="1" x14ac:dyDescent="0.25">
      <c r="A33" s="1"/>
      <c r="B33" s="1"/>
      <c r="C33" s="1"/>
      <c r="D33" s="1"/>
      <c r="E33" s="1"/>
      <c r="F33" s="1"/>
      <c r="G33" s="1"/>
      <c r="H33" s="1"/>
      <c r="I33" s="2"/>
      <c r="J33" s="2"/>
      <c r="K33" s="2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2.95" customHeight="1" x14ac:dyDescent="0.25">
      <c r="A34" s="1"/>
      <c r="B34" s="1"/>
      <c r="C34" s="1"/>
      <c r="D34" s="1"/>
      <c r="E34" s="1"/>
      <c r="F34" s="1"/>
      <c r="G34" s="1"/>
      <c r="H34" s="1"/>
      <c r="I34" s="2"/>
      <c r="J34" s="2"/>
      <c r="K34" s="2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2.95" customHeight="1" x14ac:dyDescent="0.25">
      <c r="A35" s="1"/>
      <c r="B35" s="1"/>
      <c r="C35" s="1"/>
      <c r="D35" s="1"/>
      <c r="E35" s="1"/>
      <c r="F35" s="1"/>
      <c r="G35" s="1"/>
      <c r="H35" s="1"/>
      <c r="I35" s="2"/>
      <c r="J35" s="2"/>
      <c r="K35" s="2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2.95" customHeight="1" x14ac:dyDescent="0.25">
      <c r="A36" s="1"/>
      <c r="B36" s="1"/>
      <c r="C36" s="1"/>
      <c r="D36" s="1"/>
      <c r="E36" s="1"/>
      <c r="F36" s="1"/>
      <c r="G36" s="1"/>
      <c r="H36" s="1"/>
      <c r="I36" s="2"/>
      <c r="J36" s="2"/>
      <c r="K36" s="2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2.95" customHeight="1" x14ac:dyDescent="0.25">
      <c r="A37" s="1"/>
      <c r="B37" s="1"/>
      <c r="C37" s="1"/>
      <c r="D37" s="1"/>
      <c r="E37" s="1"/>
      <c r="F37" s="1"/>
      <c r="G37" s="1"/>
      <c r="H37" s="1"/>
      <c r="I37" s="2"/>
      <c r="J37" s="2"/>
      <c r="K37" s="2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2.95" customHeight="1" x14ac:dyDescent="0.25">
      <c r="A38" s="1"/>
      <c r="B38" s="1"/>
      <c r="C38" s="1"/>
      <c r="D38" s="1"/>
      <c r="E38" s="1"/>
      <c r="F38" s="1"/>
      <c r="G38" s="1"/>
      <c r="H38" s="1"/>
      <c r="I38" s="2"/>
      <c r="J38" s="2"/>
      <c r="K38" s="2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2.95" customHeight="1" x14ac:dyDescent="0.25">
      <c r="A39" s="1"/>
      <c r="B39" s="1"/>
      <c r="C39" s="1"/>
      <c r="D39" s="1"/>
      <c r="E39" s="1"/>
      <c r="F39" s="1"/>
      <c r="G39" s="1"/>
      <c r="H39" s="1"/>
      <c r="I39" s="2"/>
      <c r="J39" s="2"/>
      <c r="K39" s="2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2.95" customHeight="1" x14ac:dyDescent="0.25">
      <c r="A40" s="1"/>
      <c r="B40" s="1"/>
      <c r="C40" s="1"/>
      <c r="D40" s="1"/>
      <c r="E40" s="1"/>
      <c r="F40" s="1"/>
      <c r="G40" s="1"/>
      <c r="H40" s="1"/>
      <c r="I40" s="2"/>
      <c r="J40" s="2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2.95" customHeight="1" x14ac:dyDescent="0.25">
      <c r="A41" s="1"/>
      <c r="B41" s="1"/>
      <c r="C41" s="1"/>
      <c r="D41" s="1"/>
      <c r="E41" s="1"/>
      <c r="F41" s="1"/>
      <c r="G41" s="1"/>
      <c r="H41" s="1"/>
      <c r="I41" s="2"/>
      <c r="J41" s="2"/>
      <c r="K41" s="2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2.95" customHeight="1" x14ac:dyDescent="0.25">
      <c r="A42" s="1"/>
      <c r="B42" s="1"/>
      <c r="C42" s="1"/>
      <c r="D42" s="1"/>
      <c r="E42" s="1"/>
      <c r="F42" s="1"/>
      <c r="G42" s="1"/>
      <c r="H42" s="1"/>
      <c r="I42" s="2"/>
      <c r="J42" s="2"/>
      <c r="K42" s="2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2.95" customHeight="1" x14ac:dyDescent="0.25">
      <c r="A43" s="1"/>
      <c r="B43" s="1"/>
      <c r="C43" s="1"/>
      <c r="D43" s="1"/>
      <c r="E43" s="1"/>
      <c r="F43" s="1"/>
      <c r="G43" s="1"/>
      <c r="H43" s="1"/>
      <c r="I43" s="2"/>
      <c r="J43" s="2"/>
      <c r="K43" s="2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2.95" customHeight="1" x14ac:dyDescent="0.25">
      <c r="A44" s="1"/>
      <c r="B44" s="1"/>
      <c r="C44" s="1"/>
      <c r="D44" s="1"/>
      <c r="E44" s="1"/>
      <c r="F44" s="1"/>
      <c r="G44" s="1"/>
      <c r="H44" s="1"/>
      <c r="I44" s="2"/>
      <c r="J44" s="2"/>
      <c r="K44" s="2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2.95" customHeight="1" x14ac:dyDescent="0.25">
      <c r="A45" s="1"/>
      <c r="B45" s="1"/>
      <c r="C45" s="1"/>
      <c r="D45" s="1"/>
      <c r="E45" s="1"/>
      <c r="F45" s="1"/>
      <c r="G45" s="1"/>
      <c r="H45" s="1"/>
      <c r="I45" s="2"/>
      <c r="J45" s="2"/>
      <c r="K45" s="2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2.95" customHeight="1" x14ac:dyDescent="0.25">
      <c r="A46" s="1"/>
      <c r="B46" s="1"/>
      <c r="C46" s="1"/>
      <c r="D46" s="1"/>
      <c r="E46" s="1"/>
      <c r="F46" s="1"/>
      <c r="G46" s="1"/>
      <c r="H46" s="1"/>
      <c r="I46" s="2"/>
      <c r="J46" s="2"/>
      <c r="K46" s="2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2.95" customHeight="1" x14ac:dyDescent="0.25">
      <c r="A47" s="1"/>
      <c r="B47" s="1"/>
      <c r="C47" s="1"/>
      <c r="D47" s="1"/>
      <c r="E47" s="1"/>
      <c r="F47" s="1"/>
      <c r="G47" s="1"/>
      <c r="H47" s="1"/>
      <c r="I47" s="2"/>
      <c r="J47" s="2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2.95" customHeight="1" x14ac:dyDescent="0.25">
      <c r="A48" s="1"/>
      <c r="B48" s="1"/>
      <c r="C48" s="1"/>
      <c r="D48" s="1"/>
      <c r="E48" s="1"/>
      <c r="F48" s="1"/>
      <c r="G48" s="1"/>
      <c r="H48" s="1"/>
      <c r="I48" s="2"/>
      <c r="J48" s="2"/>
      <c r="K48" s="2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2.95" customHeight="1" x14ac:dyDescent="0.25">
      <c r="A49" s="1"/>
      <c r="B49" s="1"/>
      <c r="C49" s="1"/>
      <c r="D49" s="1"/>
      <c r="E49" s="1"/>
      <c r="F49" s="1"/>
      <c r="G49" s="1"/>
      <c r="H49" s="1"/>
      <c r="I49" s="2"/>
      <c r="J49" s="2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2.95" customHeight="1" x14ac:dyDescent="0.25">
      <c r="A50" s="1"/>
      <c r="B50" s="1"/>
      <c r="C50" s="1"/>
      <c r="D50" s="1"/>
      <c r="E50" s="1"/>
      <c r="F50" s="1"/>
      <c r="G50" s="1"/>
      <c r="H50" s="1"/>
      <c r="I50" s="2"/>
      <c r="J50" s="2"/>
      <c r="K50" s="2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2.95" customHeight="1" x14ac:dyDescent="0.25">
      <c r="A51" s="1"/>
      <c r="B51" s="1"/>
      <c r="C51" s="1"/>
      <c r="D51" s="1"/>
      <c r="E51" s="1"/>
      <c r="F51" s="1"/>
      <c r="G51" s="1"/>
      <c r="H51" s="1"/>
      <c r="I51" s="2"/>
      <c r="J51" s="2"/>
      <c r="K51" s="2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2.95" customHeight="1" x14ac:dyDescent="0.25">
      <c r="A52" s="1"/>
      <c r="B52" s="1"/>
      <c r="C52" s="1"/>
      <c r="D52" s="1"/>
      <c r="E52" s="1"/>
      <c r="F52" s="1"/>
      <c r="G52" s="1"/>
      <c r="H52" s="1"/>
      <c r="I52" s="2"/>
      <c r="J52" s="2"/>
      <c r="K52" s="2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2.95" customHeight="1" x14ac:dyDescent="0.25"/>
    <row r="54" spans="1:27" ht="12.95" customHeight="1" x14ac:dyDescent="0.25"/>
    <row r="55" spans="1:27" ht="12.95" customHeight="1" x14ac:dyDescent="0.25"/>
    <row r="56" spans="1:27" ht="12.95" customHeight="1" x14ac:dyDescent="0.25"/>
  </sheetData>
  <mergeCells count="9">
    <mergeCell ref="E21:G21"/>
    <mergeCell ref="E23:G23"/>
    <mergeCell ref="B2:K2"/>
    <mergeCell ref="B3:K3"/>
    <mergeCell ref="B4:K4"/>
    <mergeCell ref="I17:K17"/>
    <mergeCell ref="B19:D19"/>
    <mergeCell ref="I20:K20"/>
    <mergeCell ref="I22:K22"/>
  </mergeCells>
  <phoneticPr fontId="108" type="noConversion"/>
  <dataValidations count="1">
    <dataValidation type="list" allowBlank="1" showInputMessage="1" showErrorMessage="1" sqref="I17:K17">
      <formula1>List_Horas</formula1>
    </dataValidation>
  </dataValidations>
  <hyperlinks>
    <hyperlink ref="I5" location="Menu!A1" tooltip="Grupo A" display="Grupo A"/>
    <hyperlink ref="I13" location="Menu!A1" tooltip="Octavos de Final" display="Octavos de Final"/>
    <hyperlink ref="K13" location="Menu!A1" tooltip="Cuatos de Final" display="Cuatos de Final"/>
    <hyperlink ref="I15" location="Menu!A1" tooltip="SemiFinal" display="SemiFinal"/>
    <hyperlink ref="K15" location="Menu!A1" tooltip="FINAL" display="FINAL"/>
    <hyperlink ref="B19:D19" location="Menu!A1" tooltip="Fixture (Para Imprimir)" display="Fixture ( para imprimir )"/>
    <hyperlink ref="K5" location="Menu!A1" tooltip="Grupo A" display="Grupo A"/>
    <hyperlink ref="I7" location="Menu!A1" tooltip="Grupo A" display="Grupo A"/>
    <hyperlink ref="K7" location="Menu!A1" tooltip="Grupo A" display="Grupo A"/>
    <hyperlink ref="I9" location="Menu!A1" tooltip="Grupo A" display="Grupo A"/>
    <hyperlink ref="K9" location="Menu!A1" tooltip="Grupo A" display="Grupo A"/>
    <hyperlink ref="I11" location="Menu!A1" tooltip="Grupo A" display="Grupo A"/>
    <hyperlink ref="K11" location="Menu!A1" tooltip="Grupo A" display="Grupo A"/>
    <hyperlink ref="I20:K20" location="Menu!A1" tooltip="Ver Quiniela" display="Ver Quiniela"/>
    <hyperlink ref="I22:K22" location="Menu!A1" tooltip="Ver Quiniela" display="Ver Quiniela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O56"/>
  <sheetViews>
    <sheetView showGridLines="0" showRowColHeaders="0" workbookViewId="0">
      <selection activeCell="B21" sqref="B21"/>
    </sheetView>
  </sheetViews>
  <sheetFormatPr defaultColWidth="11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3" width="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58" t="s">
        <v>19</v>
      </c>
      <c r="Q4" s="559"/>
      <c r="R4" s="559"/>
      <c r="S4" s="55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59"/>
      <c r="Q5" s="559"/>
      <c r="R5" s="559"/>
      <c r="S5" s="55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>Ø</v>
      </c>
      <c r="B6" s="22" t="str">
        <f>VLOOKUP($N6,Config!$D$1:$K$65,5,FALSE)</f>
        <v>Brasil</v>
      </c>
      <c r="C6" s="23"/>
      <c r="D6" s="24" t="s">
        <v>24</v>
      </c>
      <c r="E6" s="23"/>
      <c r="F6" s="25" t="str">
        <f>VLOOKUP($N6,Config!$D$1:$K$65,6,FALSE)</f>
        <v>Croacia</v>
      </c>
      <c r="G6" s="26" t="str">
        <f>VLOOKUP($N6,Config!$D$1:$K$65,4,FALSE)</f>
        <v>São Paulo</v>
      </c>
      <c r="H6" s="563">
        <f>VLOOKUP($N6,Config!$D$1:$M$65,9,FALSE)</f>
        <v>41802</v>
      </c>
      <c r="I6" s="563"/>
      <c r="J6" s="564">
        <f>VLOOKUP($N6,Config!$D$1:$M$65,10,FALSE)</f>
        <v>41802.645833333336</v>
      </c>
      <c r="K6" s="564"/>
      <c r="L6" s="565" t="str">
        <f ca="1">IF(OR(H6="",J6=""),"",IF(H6&gt;$Q$24,"faltan " &amp; H6-$Q$24 &amp; " días",IF(($Q$24+$R$24)&gt;(J6+(2/24)),"finalizado",IF(($Q$24+$R$24)&lt;J6,"hoy!","en juego"))))</f>
        <v>finalizado</v>
      </c>
      <c r="M6" s="565"/>
      <c r="N6" s="27">
        <v>1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México</v>
      </c>
      <c r="C7" s="23"/>
      <c r="D7" s="24" t="s">
        <v>24</v>
      </c>
      <c r="E7" s="23"/>
      <c r="F7" s="25" t="str">
        <f>VLOOKUP($N7,Config!$D$1:$K$65,6,FALSE)</f>
        <v>Camerún</v>
      </c>
      <c r="G7" s="26" t="str">
        <f>VLOOKUP($N7,Config!$D$1:$K$65,4,FALSE)</f>
        <v xml:space="preserve">Natal </v>
      </c>
      <c r="H7" s="563">
        <f>VLOOKUP($N7,Config!$D$1:$M$65,9,FALSE)</f>
        <v>41803</v>
      </c>
      <c r="I7" s="563"/>
      <c r="J7" s="564">
        <f>VLOOKUP($N7,Config!$D$1:$M$65,10,FALSE)</f>
        <v>41803.479166666664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1 días</v>
      </c>
      <c r="M7" s="565"/>
      <c r="N7" s="27">
        <v>2</v>
      </c>
      <c r="O7" s="28"/>
      <c r="P7" s="29"/>
      <c r="Q7" s="562" t="s">
        <v>25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Brasil</v>
      </c>
      <c r="C8" s="23"/>
      <c r="D8" s="24" t="s">
        <v>24</v>
      </c>
      <c r="E8" s="23"/>
      <c r="F8" s="25" t="str">
        <f>VLOOKUP($N8,Config!$D$1:$K$65,6,FALSE)</f>
        <v>México</v>
      </c>
      <c r="G8" s="26" t="str">
        <f>VLOOKUP($N8,Config!$D$1:$K$65,4,FALSE)</f>
        <v>Fortaleza</v>
      </c>
      <c r="H8" s="563">
        <f>VLOOKUP($N8,Config!$D$1:$M$65,9,FALSE)</f>
        <v>41807</v>
      </c>
      <c r="I8" s="563"/>
      <c r="J8" s="564">
        <f>VLOOKUP($N8,Config!$D$1:$M$65,10,FALSE)</f>
        <v>41807.604166666664</v>
      </c>
      <c r="K8" s="564"/>
      <c r="L8" s="565" t="str">
        <f t="shared" ca="1" si="1"/>
        <v>faltan 5 días</v>
      </c>
      <c r="M8" s="565"/>
      <c r="N8" s="27">
        <v>17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Camerún</v>
      </c>
      <c r="C9" s="23"/>
      <c r="D9" s="24" t="s">
        <v>24</v>
      </c>
      <c r="E9" s="23"/>
      <c r="F9" s="25" t="str">
        <f>VLOOKUP($N9,Config!$D$1:$K$65,6,FALSE)</f>
        <v>Croacia</v>
      </c>
      <c r="G9" s="26" t="str">
        <f>VLOOKUP($N9,Config!$D$1:$K$65,4,FALSE)</f>
        <v>Manaos</v>
      </c>
      <c r="H9" s="563">
        <f>VLOOKUP($N9,Config!$D$1:$M$65,9,FALSE)</f>
        <v>41808</v>
      </c>
      <c r="I9" s="563"/>
      <c r="J9" s="564">
        <f>VLOOKUP($N9,Config!$D$1:$M$65,10,FALSE)</f>
        <v>41808.729166666664</v>
      </c>
      <c r="K9" s="564"/>
      <c r="L9" s="565" t="str">
        <f t="shared" ca="1" si="1"/>
        <v>faltan 6 días</v>
      </c>
      <c r="M9" s="565"/>
      <c r="N9" s="27">
        <v>18</v>
      </c>
      <c r="O9" s="19"/>
      <c r="P9" s="29"/>
      <c r="Q9" s="562" t="s">
        <v>26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Croacia</v>
      </c>
      <c r="C10" s="23"/>
      <c r="D10" s="24" t="s">
        <v>24</v>
      </c>
      <c r="E10" s="23"/>
      <c r="F10" s="25" t="str">
        <f>VLOOKUP($N10,Config!$D$1:$K$65,6,FALSE)</f>
        <v>México</v>
      </c>
      <c r="G10" s="26" t="str">
        <f>VLOOKUP($N10,Config!$D$1:$K$65,4,FALSE)</f>
        <v>Recife</v>
      </c>
      <c r="H10" s="563">
        <f>VLOOKUP($N10,Config!$D$1:$M$65,9,FALSE)</f>
        <v>41813</v>
      </c>
      <c r="I10" s="563"/>
      <c r="J10" s="564">
        <f>VLOOKUP($N10,Config!$D$1:$M$65,10,FALSE)</f>
        <v>41813.645833333336</v>
      </c>
      <c r="K10" s="564"/>
      <c r="L10" s="565" t="str">
        <f t="shared" ca="1" si="1"/>
        <v>faltan 11 días</v>
      </c>
      <c r="M10" s="565"/>
      <c r="N10" s="27">
        <v>33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Camerún</v>
      </c>
      <c r="C11" s="23"/>
      <c r="D11" s="24" t="s">
        <v>24</v>
      </c>
      <c r="E11" s="23"/>
      <c r="F11" s="25" t="str">
        <f>VLOOKUP($N11,Config!$D$1:$K$65,6,FALSE)</f>
        <v>Brasil</v>
      </c>
      <c r="G11" s="26" t="str">
        <f>VLOOKUP($N11,Config!$D$1:$K$65,4,FALSE)</f>
        <v>Brasilia</v>
      </c>
      <c r="H11" s="563">
        <f>VLOOKUP($N11,Config!$D$1:$M$65,9,FALSE)</f>
        <v>41813</v>
      </c>
      <c r="I11" s="563"/>
      <c r="J11" s="564">
        <f>VLOOKUP($N11,Config!$D$1:$M$65,10,FALSE)</f>
        <v>41813.645833333336</v>
      </c>
      <c r="K11" s="564"/>
      <c r="L11" s="565" t="str">
        <f t="shared" ca="1" si="1"/>
        <v>faltan 11 días</v>
      </c>
      <c r="M11" s="565"/>
      <c r="N11" s="27">
        <v>34</v>
      </c>
      <c r="O11" s="19"/>
      <c r="P11" s="29"/>
      <c r="Q11" s="562" t="s">
        <v>27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28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40"/>
      <c r="K14" s="17"/>
      <c r="L14" s="38"/>
      <c r="M14" s="38"/>
      <c r="N14" s="1"/>
      <c r="O14" s="41"/>
      <c r="P14" s="1"/>
      <c r="Q14" s="42"/>
      <c r="R14" s="43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34"/>
      <c r="E15" s="33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Brasil</v>
      </c>
      <c r="C16" s="45"/>
      <c r="D16" s="34"/>
      <c r="E16" s="33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Croacia</v>
      </c>
      <c r="C17" s="45"/>
      <c r="D17" s="34"/>
      <c r="E17" s="1"/>
      <c r="F17" s="49" t="s">
        <v>39</v>
      </c>
      <c r="G17" s="50" t="str">
        <f t="array" ref="G17:P20">Obtiene_Datos($B$6:$F$11,$B$16:$C$19)</f>
        <v>Brasil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México</v>
      </c>
      <c r="C18" s="45"/>
      <c r="D18" s="1"/>
      <c r="E18" s="1"/>
      <c r="F18" s="49" t="s">
        <v>39</v>
      </c>
      <c r="G18" s="50" t="str">
        <v>Croacia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57"/>
      <c r="V18" s="57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Camerún</v>
      </c>
      <c r="C19" s="45"/>
      <c r="D19" s="1"/>
      <c r="E19" s="1"/>
      <c r="F19" s="3"/>
      <c r="G19" s="53" t="str">
        <v>México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4">
        <v>5000005000</v>
      </c>
      <c r="Q19" s="3"/>
      <c r="R19" s="31"/>
      <c r="S19" s="56"/>
      <c r="T19" s="1"/>
      <c r="U19" s="57"/>
      <c r="V19" s="57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58"/>
      <c r="G20" s="55" t="str">
        <v>Camerún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4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379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301" priority="5" stopIfTrue="1">
      <formula>IF(AND($H$17=3,$H$18=3,$H$19=3,$H$20=3),1,0)</formula>
    </cfRule>
  </conditionalFormatting>
  <conditionalFormatting sqref="G17:O18">
    <cfRule type="expression" dxfId="300" priority="4" stopIfTrue="1">
      <formula>IF(AND($H$17=3,$H$18=3,$H$19=3,$H$20=3),1,0)</formula>
    </cfRule>
  </conditionalFormatting>
  <conditionalFormatting sqref="V20">
    <cfRule type="expression" dxfId="299" priority="3" stopIfTrue="1">
      <formula>IF(OR($L$6="en juego",$L$6="hoy!"),1,0)</formula>
    </cfRule>
  </conditionalFormatting>
  <conditionalFormatting sqref="B6:K11">
    <cfRule type="expression" dxfId="298" priority="2" stopIfTrue="1">
      <formula>IF(OR($L6="en juego",$L6="hoy!"),1,0)</formula>
    </cfRule>
  </conditionalFormatting>
  <conditionalFormatting sqref="B16:C19">
    <cfRule type="expression" dxfId="297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A -'!A1" tooltip="Menu Principal" display="Menu Principal"/>
  </hyperlink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O56"/>
  <sheetViews>
    <sheetView showGridLines="0" showRowColHeaders="0" workbookViewId="0">
      <selection sqref="A1:R1"/>
    </sheetView>
  </sheetViews>
  <sheetFormatPr defaultColWidth="11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6" width="15.7109375" customWidth="1"/>
    <col min="7" max="7" width="14.7109375" customWidth="1"/>
    <col min="8" max="11" width="3.7109375" customWidth="1"/>
    <col min="12" max="12" width="5" customWidth="1"/>
    <col min="13" max="13" width="4.71093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42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España</v>
      </c>
      <c r="C6" s="23"/>
      <c r="D6" s="24" t="s">
        <v>24</v>
      </c>
      <c r="E6" s="23"/>
      <c r="F6" s="25" t="str">
        <f>VLOOKUP($N6,Config!$D$1:$K$65,6,FALSE)</f>
        <v>Países Bajos</v>
      </c>
      <c r="G6" s="26" t="str">
        <f>VLOOKUP($N6,Config!$D$1:$K$65,4,FALSE)</f>
        <v>Salvador</v>
      </c>
      <c r="H6" s="563">
        <f>VLOOKUP($N6,Config!$D$1:$M$65,9,FALSE)</f>
        <v>41803</v>
      </c>
      <c r="I6" s="563"/>
      <c r="J6" s="564">
        <f>VLOOKUP($N6,Config!$D$1:$M$65,10,FALSE)</f>
        <v>41803.604166666664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1 días</v>
      </c>
      <c r="M6" s="565"/>
      <c r="N6" s="27">
        <v>3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Chile</v>
      </c>
      <c r="C7" s="23"/>
      <c r="D7" s="24" t="s">
        <v>24</v>
      </c>
      <c r="E7" s="23"/>
      <c r="F7" s="25" t="str">
        <f>VLOOKUP($N7,Config!$D$1:$K$65,6,FALSE)</f>
        <v>Australia</v>
      </c>
      <c r="G7" s="26" t="str">
        <f>VLOOKUP($N7,Config!$D$1:$K$65,4,FALSE)</f>
        <v>Cuiabá</v>
      </c>
      <c r="H7" s="563">
        <f>VLOOKUP($N7,Config!$D$1:$M$65,9,FALSE)</f>
        <v>41803</v>
      </c>
      <c r="I7" s="563"/>
      <c r="J7" s="564">
        <f>VLOOKUP($N7,Config!$D$1:$M$65,10,FALSE)</f>
        <v>41803.729166666664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1 días</v>
      </c>
      <c r="M7" s="565"/>
      <c r="N7" s="27">
        <v>4</v>
      </c>
      <c r="O7" s="28"/>
      <c r="P7" s="29"/>
      <c r="Q7" s="562" t="s">
        <v>43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Australia</v>
      </c>
      <c r="C8" s="23"/>
      <c r="D8" s="24" t="s">
        <v>24</v>
      </c>
      <c r="E8" s="23"/>
      <c r="F8" s="25" t="str">
        <f>VLOOKUP($N8,Config!$D$1:$K$65,6,FALSE)</f>
        <v>Países Bajos</v>
      </c>
      <c r="G8" s="26" t="str">
        <f>VLOOKUP($N8,Config!$D$1:$K$65,4,FALSE)</f>
        <v>Porto Alegre</v>
      </c>
      <c r="H8" s="563">
        <f>VLOOKUP($N8,Config!$D$1:$M$65,9,FALSE)</f>
        <v>41808</v>
      </c>
      <c r="I8" s="563"/>
      <c r="J8" s="564">
        <f>VLOOKUP($N8,Config!$D$1:$M$65,10,FALSE)</f>
        <v>41808.479166666664</v>
      </c>
      <c r="K8" s="564"/>
      <c r="L8" s="565" t="str">
        <f t="shared" ca="1" si="1"/>
        <v>faltan 6 días</v>
      </c>
      <c r="M8" s="565"/>
      <c r="N8" s="27">
        <v>19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España</v>
      </c>
      <c r="C9" s="23"/>
      <c r="D9" s="24" t="s">
        <v>24</v>
      </c>
      <c r="E9" s="23"/>
      <c r="F9" s="25" t="str">
        <f>VLOOKUP($N9,Config!$D$1:$K$65,6,FALSE)</f>
        <v>Chile</v>
      </c>
      <c r="G9" s="26" t="str">
        <f>VLOOKUP($N9,Config!$D$1:$K$65,4,FALSE)</f>
        <v>Río de Janeiro</v>
      </c>
      <c r="H9" s="563">
        <f>VLOOKUP($N9,Config!$D$1:$M$65,9,FALSE)</f>
        <v>41808</v>
      </c>
      <c r="I9" s="563"/>
      <c r="J9" s="564">
        <f>VLOOKUP($N9,Config!$D$1:$M$65,10,FALSE)</f>
        <v>41808.604166666664</v>
      </c>
      <c r="K9" s="564"/>
      <c r="L9" s="565" t="str">
        <f t="shared" ca="1" si="1"/>
        <v>faltan 6 días</v>
      </c>
      <c r="M9" s="565"/>
      <c r="N9" s="27">
        <v>20</v>
      </c>
      <c r="O9" s="19"/>
      <c r="P9" s="29"/>
      <c r="Q9" s="562" t="s">
        <v>44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Australia</v>
      </c>
      <c r="C10" s="23"/>
      <c r="D10" s="24" t="s">
        <v>24</v>
      </c>
      <c r="E10" s="23"/>
      <c r="F10" s="25" t="str">
        <f>VLOOKUP($N10,Config!$D$1:$K$65,6,FALSE)</f>
        <v>España</v>
      </c>
      <c r="G10" s="26" t="str">
        <f>VLOOKUP($N10,Config!$D$1:$K$65,4,FALSE)</f>
        <v>Curitiba</v>
      </c>
      <c r="H10" s="563">
        <f>VLOOKUP($N10,Config!$D$1:$M$65,9,FALSE)</f>
        <v>41813</v>
      </c>
      <c r="I10" s="563"/>
      <c r="J10" s="564">
        <f>VLOOKUP($N10,Config!$D$1:$M$65,10,FALSE)</f>
        <v>41813.479166666664</v>
      </c>
      <c r="K10" s="564"/>
      <c r="L10" s="565" t="str">
        <f t="shared" ca="1" si="1"/>
        <v>faltan 11 días</v>
      </c>
      <c r="M10" s="565"/>
      <c r="N10" s="27">
        <v>35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Países Bajos</v>
      </c>
      <c r="C11" s="23"/>
      <c r="D11" s="24" t="s">
        <v>24</v>
      </c>
      <c r="E11" s="23"/>
      <c r="F11" s="25" t="str">
        <f>VLOOKUP($N11,Config!$D$1:$K$65,6,FALSE)</f>
        <v>Chile</v>
      </c>
      <c r="G11" s="26" t="str">
        <f>VLOOKUP($N11,Config!$D$1:$K$65,4,FALSE)</f>
        <v>São Paulo</v>
      </c>
      <c r="H11" s="563">
        <f>VLOOKUP($N11,Config!$D$1:$M$65,9,FALSE)</f>
        <v>41813</v>
      </c>
      <c r="I11" s="563"/>
      <c r="J11" s="564">
        <f>VLOOKUP($N11,Config!$D$1:$M$65,10,FALSE)</f>
        <v>41813.479166666664</v>
      </c>
      <c r="K11" s="564"/>
      <c r="L11" s="565" t="str">
        <f t="shared" ca="1" si="1"/>
        <v>faltan 11 días</v>
      </c>
      <c r="M11" s="565"/>
      <c r="N11" s="27">
        <v>36</v>
      </c>
      <c r="O11" s="19"/>
      <c r="P11" s="29"/>
      <c r="Q11" s="562" t="s">
        <v>45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46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España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Países Bajos</v>
      </c>
      <c r="C17" s="45"/>
      <c r="D17" s="1"/>
      <c r="E17" s="1"/>
      <c r="F17" s="49" t="s">
        <v>47</v>
      </c>
      <c r="G17" s="50" t="str">
        <f t="array" ref="G17:P20">Obtiene_Datos($B$6:$F$11,$B$16:$C$19)</f>
        <v>España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Chile</v>
      </c>
      <c r="C18" s="45"/>
      <c r="D18" s="1"/>
      <c r="E18" s="1"/>
      <c r="F18" s="49" t="s">
        <v>47</v>
      </c>
      <c r="G18" s="50" t="str">
        <v>Países Bajos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Australia</v>
      </c>
      <c r="C19" s="45"/>
      <c r="D19" s="1"/>
      <c r="E19" s="1"/>
      <c r="F19" s="3"/>
      <c r="G19" s="55" t="str">
        <v>Chile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Australia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3"/>
      <c r="O25" s="13"/>
      <c r="P25" s="13"/>
      <c r="Q25" s="75">
        <f ca="1">HOUR(R24)</f>
        <v>17</v>
      </c>
      <c r="R25" s="75">
        <f ca="1">MINUTE(R24)</f>
        <v>54</v>
      </c>
      <c r="S25" s="68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3"/>
      <c r="O26" s="13"/>
      <c r="P26" s="1"/>
      <c r="Q26" s="75"/>
      <c r="R26" s="76">
        <f ca="1">TIME(Q25,R25,0)</f>
        <v>0.74583333333333324</v>
      </c>
      <c r="S26" s="68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96" priority="4" stopIfTrue="1">
      <formula>IF(AND($H$17=3,$H$18=3,$H$19=3,$H$20=3),1,0)</formula>
    </cfRule>
  </conditionalFormatting>
  <conditionalFormatting sqref="G17:O18">
    <cfRule type="expression" dxfId="295" priority="3" stopIfTrue="1">
      <formula>IF(AND($H$17=3,$H$18=3,$H$19=3,$H$20=3),1,0)</formula>
    </cfRule>
  </conditionalFormatting>
  <conditionalFormatting sqref="B6:K11">
    <cfRule type="expression" dxfId="294" priority="2" stopIfTrue="1">
      <formula>IF(OR($L6="en juego",$L6="hoy!"),1,0)</formula>
    </cfRule>
  </conditionalFormatting>
  <conditionalFormatting sqref="B16:C19">
    <cfRule type="expression" dxfId="293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B -'!A1" tooltip="Menu Principal" display="Menu Principal"/>
  </hyperlink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O56"/>
  <sheetViews>
    <sheetView showGridLines="0" showRowColHeaders="0" workbookViewId="0">
      <selection activeCell="F22" sqref="F22"/>
    </sheetView>
  </sheetViews>
  <sheetFormatPr defaultColWidth="11.42578125" defaultRowHeight="15" x14ac:dyDescent="0.25"/>
  <cols>
    <col min="1" max="1" width="2.7109375" customWidth="1"/>
    <col min="2" max="2" width="17.7109375" customWidth="1"/>
    <col min="3" max="3" width="3.7109375" customWidth="1"/>
    <col min="4" max="4" width="1.7109375" customWidth="1"/>
    <col min="5" max="5" width="3.7109375" customWidth="1"/>
    <col min="6" max="6" width="17.7109375" customWidth="1"/>
    <col min="7" max="7" width="14.7109375" customWidth="1"/>
    <col min="8" max="11" width="3.7109375" customWidth="1"/>
    <col min="12" max="12" width="5.5703125" customWidth="1"/>
    <col min="13" max="13" width="4.855468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48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Colombia</v>
      </c>
      <c r="C6" s="23"/>
      <c r="D6" s="24" t="s">
        <v>24</v>
      </c>
      <c r="E6" s="23"/>
      <c r="F6" s="25" t="str">
        <f>VLOOKUP($N6,Config!$D$1:$K$65,6,FALSE)</f>
        <v>Grecia</v>
      </c>
      <c r="G6" s="26" t="str">
        <f>VLOOKUP($N6,Config!$D$1:$K$65,4,FALSE)</f>
        <v>Belo Horizonte</v>
      </c>
      <c r="H6" s="563">
        <f>VLOOKUP($N6,Config!$D$1:$M$65,9,FALSE)</f>
        <v>41804</v>
      </c>
      <c r="I6" s="563"/>
      <c r="J6" s="564">
        <f>VLOOKUP($N6,Config!$D$1:$M$65,10,FALSE)</f>
        <v>41804.479166666664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2 días</v>
      </c>
      <c r="M6" s="565"/>
      <c r="N6" s="27">
        <v>5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Costa de Marfil</v>
      </c>
      <c r="C7" s="23"/>
      <c r="D7" s="24" t="s">
        <v>24</v>
      </c>
      <c r="E7" s="23"/>
      <c r="F7" s="25" t="str">
        <f>VLOOKUP($N7,Config!$D$1:$K$65,6,FALSE)</f>
        <v>Japón</v>
      </c>
      <c r="G7" s="26" t="str">
        <f>VLOOKUP($N7,Config!$D$1:$K$65,4,FALSE)</f>
        <v>Recife</v>
      </c>
      <c r="H7" s="563">
        <f>VLOOKUP($N7,Config!$D$1:$M$65,9,FALSE)</f>
        <v>41804</v>
      </c>
      <c r="I7" s="563"/>
      <c r="J7" s="564">
        <f>VLOOKUP($N7,Config!$D$1:$M$65,10,FALSE)</f>
        <v>41804.854166666664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2 días</v>
      </c>
      <c r="M7" s="565"/>
      <c r="N7" s="27">
        <v>6</v>
      </c>
      <c r="O7" s="28"/>
      <c r="P7" s="29"/>
      <c r="Q7" s="562" t="s">
        <v>49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Colombia</v>
      </c>
      <c r="C8" s="23"/>
      <c r="D8" s="24" t="s">
        <v>24</v>
      </c>
      <c r="E8" s="23"/>
      <c r="F8" s="25" t="str">
        <f>VLOOKUP($N8,Config!$D$1:$K$65,6,FALSE)</f>
        <v>Costa de Marfil</v>
      </c>
      <c r="G8" s="26" t="str">
        <f>VLOOKUP($N8,Config!$D$1:$K$65,4,FALSE)</f>
        <v>Brasilia</v>
      </c>
      <c r="H8" s="563">
        <f>VLOOKUP($N8,Config!$D$1:$M$65,9,FALSE)</f>
        <v>41809</v>
      </c>
      <c r="I8" s="563"/>
      <c r="J8" s="564">
        <f>VLOOKUP($N8,Config!$D$1:$M$65,10,FALSE)</f>
        <v>41809.479166666664</v>
      </c>
      <c r="K8" s="564"/>
      <c r="L8" s="565" t="str">
        <f t="shared" ca="1" si="1"/>
        <v>faltan 7 días</v>
      </c>
      <c r="M8" s="565"/>
      <c r="N8" s="27">
        <v>21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Japón</v>
      </c>
      <c r="C9" s="23"/>
      <c r="D9" s="24" t="s">
        <v>24</v>
      </c>
      <c r="E9" s="23"/>
      <c r="F9" s="25" t="str">
        <f>VLOOKUP($N9,Config!$D$1:$K$65,6,FALSE)</f>
        <v>Grecia</v>
      </c>
      <c r="G9" s="26" t="str">
        <f>VLOOKUP($N9,Config!$D$1:$K$65,4,FALSE)</f>
        <v xml:space="preserve">Natal </v>
      </c>
      <c r="H9" s="563">
        <f>VLOOKUP($N9,Config!$D$1:$M$65,9,FALSE)</f>
        <v>41809</v>
      </c>
      <c r="I9" s="563"/>
      <c r="J9" s="564">
        <f>VLOOKUP($N9,Config!$D$1:$M$65,10,FALSE)</f>
        <v>41809.729166666664</v>
      </c>
      <c r="K9" s="564"/>
      <c r="L9" s="565" t="str">
        <f t="shared" ca="1" si="1"/>
        <v>faltan 7 días</v>
      </c>
      <c r="M9" s="565"/>
      <c r="N9" s="27">
        <v>22</v>
      </c>
      <c r="O9" s="19"/>
      <c r="P9" s="29"/>
      <c r="Q9" s="562" t="s">
        <v>50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Japón</v>
      </c>
      <c r="C10" s="23"/>
      <c r="D10" s="24" t="s">
        <v>24</v>
      </c>
      <c r="E10" s="23"/>
      <c r="F10" s="25" t="str">
        <f>VLOOKUP($N10,Config!$D$1:$K$65,6,FALSE)</f>
        <v>Colombia</v>
      </c>
      <c r="G10" s="26" t="str">
        <f>VLOOKUP($N10,Config!$D$1:$K$65,4,FALSE)</f>
        <v>Cuiabá</v>
      </c>
      <c r="H10" s="563">
        <f>VLOOKUP($N10,Config!$D$1:$M$65,9,FALSE)</f>
        <v>41814</v>
      </c>
      <c r="I10" s="563"/>
      <c r="J10" s="564">
        <f>VLOOKUP($N10,Config!$D$1:$M$65,10,FALSE)</f>
        <v>41814.645833333336</v>
      </c>
      <c r="K10" s="564"/>
      <c r="L10" s="565" t="str">
        <f t="shared" ca="1" si="1"/>
        <v>faltan 12 días</v>
      </c>
      <c r="M10" s="565"/>
      <c r="N10" s="27">
        <v>37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Grecia</v>
      </c>
      <c r="C11" s="23"/>
      <c r="D11" s="24" t="s">
        <v>24</v>
      </c>
      <c r="E11" s="23"/>
      <c r="F11" s="25" t="str">
        <f>VLOOKUP($N11,Config!$D$1:$K$65,6,FALSE)</f>
        <v>Costa de Marfil</v>
      </c>
      <c r="G11" s="26" t="str">
        <f>VLOOKUP($N11,Config!$D$1:$K$65,4,FALSE)</f>
        <v>Fortaleza</v>
      </c>
      <c r="H11" s="563">
        <f>VLOOKUP($N11,Config!$D$1:$M$65,9,FALSE)</f>
        <v>41814</v>
      </c>
      <c r="I11" s="563"/>
      <c r="J11" s="564">
        <f>VLOOKUP($N11,Config!$D$1:$M$65,10,FALSE)</f>
        <v>41814.645833333336</v>
      </c>
      <c r="K11" s="564"/>
      <c r="L11" s="565" t="str">
        <f t="shared" ca="1" si="1"/>
        <v>faltan 12 días</v>
      </c>
      <c r="M11" s="565"/>
      <c r="N11" s="27">
        <v>38</v>
      </c>
      <c r="O11" s="19"/>
      <c r="P11" s="29"/>
      <c r="Q11" s="562" t="s">
        <v>51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52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Colombia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Grecia</v>
      </c>
      <c r="C17" s="45"/>
      <c r="D17" s="1"/>
      <c r="E17" s="1"/>
      <c r="F17" s="49" t="s">
        <v>47</v>
      </c>
      <c r="G17" s="50" t="str">
        <f t="array" ref="G17:P20">Obtiene_Datos($B$6:$F$11,$B$16:$C$19)</f>
        <v>Colombia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Costa de Marfil</v>
      </c>
      <c r="C18" s="45"/>
      <c r="D18" s="1"/>
      <c r="E18" s="1"/>
      <c r="F18" s="49" t="s">
        <v>47</v>
      </c>
      <c r="G18" s="50" t="str">
        <v>Grecia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Japón</v>
      </c>
      <c r="C19" s="45"/>
      <c r="D19" s="1"/>
      <c r="E19" s="1"/>
      <c r="F19" s="3"/>
      <c r="G19" s="55" t="str">
        <v>Costa de Marfil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Japón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t="15" hidden="1" customHeight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t="15" hidden="1" customHeight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_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92" priority="4" stopIfTrue="1">
      <formula>IF(AND($H$17=3,$H$18=3,$H$19=3,$H$20=3),1,0)</formula>
    </cfRule>
  </conditionalFormatting>
  <conditionalFormatting sqref="G17:O18">
    <cfRule type="expression" dxfId="291" priority="3" stopIfTrue="1">
      <formula>IF(AND($H$17=3,$H$18=3,$H$19=3,$H$20=3),1,0)</formula>
    </cfRule>
  </conditionalFormatting>
  <conditionalFormatting sqref="B6:K11">
    <cfRule type="expression" dxfId="290" priority="2" stopIfTrue="1">
      <formula>IF(OR($L6="en juego",$L6="hoy!"),1,0)</formula>
    </cfRule>
  </conditionalFormatting>
  <conditionalFormatting sqref="B16:C19">
    <cfRule type="expression" dxfId="289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C -'!A1" tooltip="Menu Principal" display="Menu Principal"/>
  </hyperlink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AO56"/>
  <sheetViews>
    <sheetView showGridLines="0" showRowColHeaders="0" workbookViewId="0">
      <selection activeCell="F15" sqref="F15"/>
    </sheetView>
  </sheetViews>
  <sheetFormatPr defaultColWidth="11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2" width="4.7109375" customWidth="1"/>
    <col min="13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53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9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Uruguay</v>
      </c>
      <c r="C6" s="23"/>
      <c r="D6" s="24" t="s">
        <v>24</v>
      </c>
      <c r="E6" s="23"/>
      <c r="F6" s="25" t="str">
        <f>VLOOKUP($N6,Config!$D$1:$K$65,6,FALSE)</f>
        <v>Costa Rica</v>
      </c>
      <c r="G6" s="26" t="str">
        <f>VLOOKUP($N6,Config!$D$1:$K$65,4,FALSE)</f>
        <v>Fortaleza</v>
      </c>
      <c r="H6" s="563">
        <f>VLOOKUP($N6,Config!$D$1:$M$65,9,FALSE)</f>
        <v>41804</v>
      </c>
      <c r="I6" s="563"/>
      <c r="J6" s="564">
        <f>VLOOKUP($N6,Config!$D$1:$M$65,10,FALSE)</f>
        <v>41804.604166666664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2 días</v>
      </c>
      <c r="M6" s="565"/>
      <c r="N6" s="27">
        <v>7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Inglaterra</v>
      </c>
      <c r="C7" s="23"/>
      <c r="D7" s="24" t="s">
        <v>24</v>
      </c>
      <c r="E7" s="23"/>
      <c r="F7" s="25" t="str">
        <f>VLOOKUP($N7,Config!$D$1:$K$65,6,FALSE)</f>
        <v>Italia</v>
      </c>
      <c r="G7" s="26" t="str">
        <f>VLOOKUP($N7,Config!$D$1:$K$65,4,FALSE)</f>
        <v>Manaos</v>
      </c>
      <c r="H7" s="563">
        <f>VLOOKUP($N7,Config!$D$1:$M$65,9,FALSE)</f>
        <v>41804</v>
      </c>
      <c r="I7" s="563"/>
      <c r="J7" s="564">
        <f>VLOOKUP($N7,Config!$D$1:$M$65,10,FALSE)</f>
        <v>41804.729166666664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2 días</v>
      </c>
      <c r="M7" s="565"/>
      <c r="N7" s="27">
        <v>8</v>
      </c>
      <c r="O7" s="28"/>
      <c r="P7" s="29"/>
      <c r="Q7" s="562" t="s">
        <v>54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Uruguay</v>
      </c>
      <c r="C8" s="23"/>
      <c r="D8" s="24" t="s">
        <v>24</v>
      </c>
      <c r="E8" s="23"/>
      <c r="F8" s="25" t="str">
        <f>VLOOKUP($N8,Config!$D$1:$K$65,6,FALSE)</f>
        <v>Inglaterra</v>
      </c>
      <c r="G8" s="26" t="str">
        <f>VLOOKUP($N8,Config!$D$1:$K$65,4,FALSE)</f>
        <v>São Paulo</v>
      </c>
      <c r="H8" s="563">
        <f>VLOOKUP($N8,Config!$D$1:$M$65,9,FALSE)</f>
        <v>41809</v>
      </c>
      <c r="I8" s="563"/>
      <c r="J8" s="564">
        <f>VLOOKUP($N8,Config!$D$1:$M$65,10,FALSE)</f>
        <v>41809.604166666664</v>
      </c>
      <c r="K8" s="564"/>
      <c r="L8" s="565" t="str">
        <f t="shared" ca="1" si="1"/>
        <v>faltan 7 días</v>
      </c>
      <c r="M8" s="565"/>
      <c r="N8" s="27">
        <v>23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Italia</v>
      </c>
      <c r="C9" s="23"/>
      <c r="D9" s="24" t="s">
        <v>24</v>
      </c>
      <c r="E9" s="23"/>
      <c r="F9" s="25" t="str">
        <f>VLOOKUP($N9,Config!$D$1:$K$65,6,FALSE)</f>
        <v>Costa Rica</v>
      </c>
      <c r="G9" s="26" t="str">
        <f>VLOOKUP($N9,Config!$D$1:$K$65,4,FALSE)</f>
        <v>Recife</v>
      </c>
      <c r="H9" s="563">
        <f>VLOOKUP($N9,Config!$D$1:$M$65,9,FALSE)</f>
        <v>41810</v>
      </c>
      <c r="I9" s="563"/>
      <c r="J9" s="564">
        <f>VLOOKUP($N9,Config!$D$1:$M$65,10,FALSE)</f>
        <v>41810.479166666664</v>
      </c>
      <c r="K9" s="564"/>
      <c r="L9" s="565" t="str">
        <f t="shared" ca="1" si="1"/>
        <v>faltan 8 días</v>
      </c>
      <c r="M9" s="565"/>
      <c r="N9" s="27">
        <v>24</v>
      </c>
      <c r="O9" s="19"/>
      <c r="P9" s="29"/>
      <c r="Q9" s="562" t="s">
        <v>55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Italia</v>
      </c>
      <c r="C10" s="23"/>
      <c r="D10" s="24" t="s">
        <v>24</v>
      </c>
      <c r="E10" s="23"/>
      <c r="F10" s="25" t="str">
        <f>VLOOKUP($N10,Config!$D$1:$K$65,6,FALSE)</f>
        <v>Uruguay</v>
      </c>
      <c r="G10" s="26" t="str">
        <f>VLOOKUP($N10,Config!$D$1:$K$65,4,FALSE)</f>
        <v xml:space="preserve">Natal </v>
      </c>
      <c r="H10" s="563">
        <f>VLOOKUP($N10,Config!$D$1:$M$65,9,FALSE)</f>
        <v>41814</v>
      </c>
      <c r="I10" s="563"/>
      <c r="J10" s="564">
        <f>VLOOKUP($N10,Config!$D$1:$M$65,10,FALSE)</f>
        <v>41814.479166666664</v>
      </c>
      <c r="K10" s="564"/>
      <c r="L10" s="565" t="str">
        <f t="shared" ca="1" si="1"/>
        <v>faltan 12 días</v>
      </c>
      <c r="M10" s="565"/>
      <c r="N10" s="27">
        <v>39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Costa Rica</v>
      </c>
      <c r="C11" s="23"/>
      <c r="D11" s="24" t="s">
        <v>24</v>
      </c>
      <c r="E11" s="23"/>
      <c r="F11" s="25" t="str">
        <f>VLOOKUP($N11,Config!$D$1:$K$65,6,FALSE)</f>
        <v>Inglaterra</v>
      </c>
      <c r="G11" s="26" t="str">
        <f>VLOOKUP($N11,Config!$D$1:$K$65,4,FALSE)</f>
        <v>Belo Horizonte</v>
      </c>
      <c r="H11" s="563">
        <f>VLOOKUP($N11,Config!$D$1:$M$65,9,FALSE)</f>
        <v>41814</v>
      </c>
      <c r="I11" s="563"/>
      <c r="J11" s="564">
        <f>VLOOKUP($N11,Config!$D$1:$M$65,10,FALSE)</f>
        <v>41814.479166666664</v>
      </c>
      <c r="K11" s="564"/>
      <c r="L11" s="565" t="str">
        <f t="shared" ca="1" si="1"/>
        <v>faltan 12 días</v>
      </c>
      <c r="M11" s="565"/>
      <c r="N11" s="27">
        <v>40</v>
      </c>
      <c r="O11" s="19"/>
      <c r="P11" s="29"/>
      <c r="Q11" s="562" t="s">
        <v>56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57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Uruguay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Costa Rica</v>
      </c>
      <c r="C17" s="45"/>
      <c r="D17" s="1"/>
      <c r="E17" s="1"/>
      <c r="F17" s="49" t="s">
        <v>47</v>
      </c>
      <c r="G17" s="50" t="str">
        <f t="array" ref="G17:P20">Obtiene_Datos($B$6:$F$11,$B$16:$C$19)</f>
        <v>Uruguay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Inglaterra</v>
      </c>
      <c r="C18" s="45"/>
      <c r="D18" s="1"/>
      <c r="E18" s="1"/>
      <c r="F18" s="49" t="s">
        <v>47</v>
      </c>
      <c r="G18" s="50" t="str">
        <v>Costa Rica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Italia</v>
      </c>
      <c r="C19" s="45"/>
      <c r="D19" s="1"/>
      <c r="E19" s="1"/>
      <c r="F19" s="3"/>
      <c r="G19" s="55" t="str">
        <v>Inglaterra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Italia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88" priority="4" stopIfTrue="1">
      <formula>IF(AND($H$17=3,$H$18=3,$H$19=3,$H$20=3),1,0)</formula>
    </cfRule>
  </conditionalFormatting>
  <conditionalFormatting sqref="G17:O18">
    <cfRule type="expression" dxfId="287" priority="3" stopIfTrue="1">
      <formula>IF(AND($H$17=3,$H$18=3,$H$19=3,$H$20=3),1,0)</formula>
    </cfRule>
  </conditionalFormatting>
  <conditionalFormatting sqref="B6:K11">
    <cfRule type="expression" dxfId="286" priority="2" stopIfTrue="1">
      <formula>IF(OR($L6="en juego",$L6="hoy!"),1,0)</formula>
    </cfRule>
  </conditionalFormatting>
  <conditionalFormatting sqref="B16:C19">
    <cfRule type="expression" dxfId="285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D -'!A1" tooltip="Menu Principal" display="Menu Principal"/>
  </hyperlink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AO56"/>
  <sheetViews>
    <sheetView showGridLines="0" showRowColHeaders="0" workbookViewId="0">
      <selection activeCell="F14" sqref="F14"/>
    </sheetView>
  </sheetViews>
  <sheetFormatPr defaultColWidth="11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2" width="5" customWidth="1"/>
    <col min="13" max="13" width="4.57031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3" width="4.7109375" customWidth="1"/>
    <col min="24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58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Suiza</v>
      </c>
      <c r="C6" s="23"/>
      <c r="D6" s="24" t="s">
        <v>24</v>
      </c>
      <c r="E6" s="23"/>
      <c r="F6" s="25" t="str">
        <f>VLOOKUP($N6,Config!$D$1:$K$65,6,FALSE)</f>
        <v>Ecuador</v>
      </c>
      <c r="G6" s="26" t="str">
        <f>VLOOKUP($N6,Config!$D$1:$K$65,4,FALSE)</f>
        <v>Brasilia</v>
      </c>
      <c r="H6" s="563">
        <f>VLOOKUP($N6,Config!$D$1:$M$65,9,FALSE)</f>
        <v>41805</v>
      </c>
      <c r="I6" s="563"/>
      <c r="J6" s="564">
        <f>VLOOKUP($N6,Config!$D$1:$M$65,10,FALSE)</f>
        <v>41805.479166666664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3 días</v>
      </c>
      <c r="M6" s="565"/>
      <c r="N6" s="27">
        <v>9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Francia</v>
      </c>
      <c r="C7" s="23"/>
      <c r="D7" s="24" t="s">
        <v>24</v>
      </c>
      <c r="E7" s="23"/>
      <c r="F7" s="25" t="str">
        <f>VLOOKUP($N7,Config!$D$1:$K$65,6,FALSE)</f>
        <v>Honduras</v>
      </c>
      <c r="G7" s="26" t="str">
        <f>VLOOKUP($N7,Config!$D$1:$K$65,4,FALSE)</f>
        <v>Porto Alegre</v>
      </c>
      <c r="H7" s="563">
        <f>VLOOKUP($N7,Config!$D$1:$M$65,9,FALSE)</f>
        <v>41805</v>
      </c>
      <c r="I7" s="563"/>
      <c r="J7" s="564">
        <f>VLOOKUP($N7,Config!$D$1:$M$65,10,FALSE)</f>
        <v>41805.604166666664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3 días</v>
      </c>
      <c r="M7" s="565"/>
      <c r="N7" s="27">
        <v>10</v>
      </c>
      <c r="O7" s="28"/>
      <c r="P7" s="29"/>
      <c r="Q7" s="562" t="s">
        <v>59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ca="1">IF(OR(L8="finalizado",L8="en juego",L8="hoy!"),"Ø","")</f>
        <v/>
      </c>
      <c r="B8" s="22" t="str">
        <f>VLOOKUP($N8,Config!$D$1:$K$65,5,FALSE)</f>
        <v>Suiza</v>
      </c>
      <c r="C8" s="23"/>
      <c r="D8" s="24" t="s">
        <v>24</v>
      </c>
      <c r="E8" s="23"/>
      <c r="F8" s="25" t="str">
        <f>VLOOKUP($N8,Config!$D$1:$K$65,6,FALSE)</f>
        <v>Francia</v>
      </c>
      <c r="G8" s="26" t="str">
        <f>VLOOKUP($N8,Config!$D$1:$K$65,4,FALSE)</f>
        <v>Salvador</v>
      </c>
      <c r="H8" s="563">
        <f>VLOOKUP($N8,Config!$D$1:$M$65,9,FALSE)</f>
        <v>41810</v>
      </c>
      <c r="I8" s="563"/>
      <c r="J8" s="564">
        <f>VLOOKUP($N8,Config!$D$1:$M$65,10,FALSE)</f>
        <v>41810.604166666664</v>
      </c>
      <c r="K8" s="564"/>
      <c r="L8" s="565" t="str">
        <f t="shared" ca="1" si="1"/>
        <v>faltan 8 días</v>
      </c>
      <c r="M8" s="565"/>
      <c r="N8" s="27">
        <v>25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ca="1">IF(OR(L9="finalizado",L9="en juego",L9="hoy!"),"Ø","")</f>
        <v/>
      </c>
      <c r="B9" s="22" t="str">
        <f>VLOOKUP($N9,Config!$D$1:$K$65,5,FALSE)</f>
        <v>Honduras</v>
      </c>
      <c r="C9" s="23"/>
      <c r="D9" s="24" t="s">
        <v>24</v>
      </c>
      <c r="E9" s="23"/>
      <c r="F9" s="25" t="str">
        <f>VLOOKUP($N9,Config!$D$1:$K$65,6,FALSE)</f>
        <v>Ecuador</v>
      </c>
      <c r="G9" s="26" t="str">
        <f>VLOOKUP($N9,Config!$D$1:$K$65,4,FALSE)</f>
        <v>Curitiba</v>
      </c>
      <c r="H9" s="563">
        <f>VLOOKUP($N9,Config!$D$1:$M$65,9,FALSE)</f>
        <v>41810</v>
      </c>
      <c r="I9" s="563"/>
      <c r="J9" s="564">
        <f>VLOOKUP($N9,Config!$D$1:$M$65,10,FALSE)</f>
        <v>41810.729166666664</v>
      </c>
      <c r="K9" s="564"/>
      <c r="L9" s="565" t="str">
        <f t="shared" ca="1" si="1"/>
        <v>faltan 8 días</v>
      </c>
      <c r="M9" s="565"/>
      <c r="N9" s="27">
        <v>26</v>
      </c>
      <c r="O9" s="19"/>
      <c r="P9" s="29"/>
      <c r="Q9" s="562" t="s">
        <v>60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Honduras</v>
      </c>
      <c r="C10" s="23"/>
      <c r="D10" s="24" t="s">
        <v>24</v>
      </c>
      <c r="E10" s="23"/>
      <c r="F10" s="25" t="str">
        <f>VLOOKUP($N10,Config!$D$1:$K$65,6,FALSE)</f>
        <v>Suiza</v>
      </c>
      <c r="G10" s="26" t="str">
        <f>VLOOKUP($N10,Config!$D$1:$K$65,4,FALSE)</f>
        <v>Manaos</v>
      </c>
      <c r="H10" s="563">
        <f>VLOOKUP($N10,Config!$D$1:$M$65,9,FALSE)</f>
        <v>41815</v>
      </c>
      <c r="I10" s="563"/>
      <c r="J10" s="564">
        <f>VLOOKUP($N10,Config!$D$1:$M$65,10,FALSE)</f>
        <v>41815.645833333336</v>
      </c>
      <c r="K10" s="564"/>
      <c r="L10" s="565" t="str">
        <f t="shared" ca="1" si="1"/>
        <v>faltan 13 días</v>
      </c>
      <c r="M10" s="565"/>
      <c r="N10" s="27">
        <v>41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Ecuador</v>
      </c>
      <c r="C11" s="23"/>
      <c r="D11" s="24" t="s">
        <v>24</v>
      </c>
      <c r="E11" s="23"/>
      <c r="F11" s="25" t="str">
        <f>VLOOKUP($N11,Config!$D$1:$K$65,6,FALSE)</f>
        <v>Francia</v>
      </c>
      <c r="G11" s="26" t="str">
        <f>VLOOKUP($N11,Config!$D$1:$K$65,4,FALSE)</f>
        <v>Río de Janeiro</v>
      </c>
      <c r="H11" s="563">
        <f>VLOOKUP($N11,Config!$D$1:$M$65,9,FALSE)</f>
        <v>41815</v>
      </c>
      <c r="I11" s="563"/>
      <c r="J11" s="564">
        <f>VLOOKUP($N11,Config!$D$1:$M$65,10,FALSE)</f>
        <v>41815.645833333336</v>
      </c>
      <c r="K11" s="564"/>
      <c r="L11" s="565" t="str">
        <f t="shared" ca="1" si="1"/>
        <v>faltan 13 días</v>
      </c>
      <c r="M11" s="565"/>
      <c r="N11" s="27">
        <v>42</v>
      </c>
      <c r="O11" s="19"/>
      <c r="P11" s="29"/>
      <c r="Q11" s="562" t="s">
        <v>61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62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9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Suiza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Ecuador</v>
      </c>
      <c r="C17" s="45"/>
      <c r="D17" s="1"/>
      <c r="E17" s="1"/>
      <c r="F17" s="49" t="s">
        <v>47</v>
      </c>
      <c r="G17" s="50" t="str">
        <f t="array" ref="G17:P20">Obtiene_Datos($B$6:$F$11,$B$16:$C$19)</f>
        <v>Suiza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Francia</v>
      </c>
      <c r="C18" s="45"/>
      <c r="D18" s="1"/>
      <c r="E18" s="1"/>
      <c r="F18" s="49" t="s">
        <v>47</v>
      </c>
      <c r="G18" s="50" t="str">
        <v>Ecuador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Honduras</v>
      </c>
      <c r="C19" s="45"/>
      <c r="D19" s="1"/>
      <c r="E19" s="1"/>
      <c r="F19" s="3"/>
      <c r="G19" s="55" t="str">
        <v>Francia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Honduras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84" priority="4" stopIfTrue="1">
      <formula>IF(AND($H$17=3,$H$18=3,$H$19=3,$H$20=3),1,0)</formula>
    </cfRule>
  </conditionalFormatting>
  <conditionalFormatting sqref="G17:O18">
    <cfRule type="expression" dxfId="283" priority="3" stopIfTrue="1">
      <formula>IF(AND($H$17=3,$H$18=3,$H$19=3,$H$20=3),1,0)</formula>
    </cfRule>
  </conditionalFormatting>
  <conditionalFormatting sqref="B6:K11">
    <cfRule type="expression" dxfId="282" priority="2" stopIfTrue="1">
      <formula>IF(OR($L6="en juego",$L6="hoy!"),1,0)</formula>
    </cfRule>
  </conditionalFormatting>
  <conditionalFormatting sqref="B16:C19">
    <cfRule type="expression" dxfId="281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E -'!A1" tooltip="Menu Principal" display="Menu Principal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AO56"/>
  <sheetViews>
    <sheetView showGridLines="0" showRowColHeaders="0" workbookViewId="0">
      <selection activeCell="F15" sqref="F15"/>
    </sheetView>
  </sheetViews>
  <sheetFormatPr defaultColWidth="11.42578125" defaultRowHeight="15" x14ac:dyDescent="0.25"/>
  <cols>
    <col min="1" max="1" width="2.7109375" customWidth="1"/>
    <col min="2" max="2" width="20.7109375" customWidth="1"/>
    <col min="3" max="3" width="3.7109375" customWidth="1"/>
    <col min="4" max="4" width="1.7109375" customWidth="1"/>
    <col min="5" max="5" width="3.7109375" customWidth="1"/>
    <col min="6" max="6" width="22.7109375" customWidth="1"/>
    <col min="7" max="7" width="16.7109375" customWidth="1"/>
    <col min="8" max="11" width="3.7109375" customWidth="1"/>
    <col min="12" max="12" width="4.7109375" customWidth="1"/>
    <col min="13" max="13" width="4.8554687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4" width="4.7109375" customWidth="1"/>
    <col min="25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63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Argentina</v>
      </c>
      <c r="C6" s="23"/>
      <c r="D6" s="24" t="s">
        <v>24</v>
      </c>
      <c r="E6" s="23"/>
      <c r="F6" s="25" t="str">
        <f>VLOOKUP($N6,Config!$D$1:$K$65,6,FALSE)</f>
        <v>Bosnia-Herzegovina</v>
      </c>
      <c r="G6" s="26" t="str">
        <f>VLOOKUP($N6,Config!$D$1:$K$65,4,FALSE)</f>
        <v>Río de Janeiro</v>
      </c>
      <c r="H6" s="563">
        <f>VLOOKUP($N6,Config!$D$1:$M$65,9,FALSE)</f>
        <v>41805</v>
      </c>
      <c r="I6" s="563"/>
      <c r="J6" s="564">
        <f>VLOOKUP($N6,Config!$D$1:$M$65,10,FALSE)</f>
        <v>41805.729166666664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3 días</v>
      </c>
      <c r="M6" s="565"/>
      <c r="N6" s="27">
        <v>11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Irán</v>
      </c>
      <c r="C7" s="23"/>
      <c r="D7" s="24" t="s">
        <v>24</v>
      </c>
      <c r="E7" s="23"/>
      <c r="F7" s="25" t="str">
        <f>VLOOKUP($N7,Config!$D$1:$K$65,6,FALSE)</f>
        <v>Nigeria</v>
      </c>
      <c r="G7" s="26" t="str">
        <f>VLOOKUP($N7,Config!$D$1:$K$65,4,FALSE)</f>
        <v>Curitiba</v>
      </c>
      <c r="H7" s="563">
        <f>VLOOKUP($N7,Config!$D$1:$M$65,9,FALSE)</f>
        <v>41806</v>
      </c>
      <c r="I7" s="563"/>
      <c r="J7" s="564">
        <f>VLOOKUP($N7,Config!$D$1:$M$65,10,FALSE)</f>
        <v>41806.604166666664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4 días</v>
      </c>
      <c r="M7" s="565"/>
      <c r="N7" s="27">
        <v>12</v>
      </c>
      <c r="O7" s="28"/>
      <c r="P7" s="29"/>
      <c r="Q7" s="562" t="s">
        <v>64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Argentina</v>
      </c>
      <c r="C8" s="23"/>
      <c r="D8" s="24" t="s">
        <v>24</v>
      </c>
      <c r="E8" s="23"/>
      <c r="F8" s="25" t="str">
        <f>VLOOKUP($N8,Config!$D$1:$K$65,6,FALSE)</f>
        <v>Irán</v>
      </c>
      <c r="G8" s="26" t="str">
        <f>VLOOKUP($N8,Config!$D$1:$K$65,4,FALSE)</f>
        <v>Belo Horizonte</v>
      </c>
      <c r="H8" s="563">
        <f>VLOOKUP($N8,Config!$D$1:$M$65,9,FALSE)</f>
        <v>41811</v>
      </c>
      <c r="I8" s="563"/>
      <c r="J8" s="564">
        <f>VLOOKUP($N8,Config!$D$1:$M$65,10,FALSE)</f>
        <v>41811.479166666664</v>
      </c>
      <c r="K8" s="564"/>
      <c r="L8" s="565" t="str">
        <f t="shared" ca="1" si="1"/>
        <v>faltan 9 días</v>
      </c>
      <c r="M8" s="565"/>
      <c r="N8" s="27">
        <v>27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Nigeria</v>
      </c>
      <c r="C9" s="23"/>
      <c r="D9" s="24" t="s">
        <v>24</v>
      </c>
      <c r="E9" s="23"/>
      <c r="F9" s="25" t="str">
        <f>VLOOKUP($N9,Config!$D$1:$K$65,6,FALSE)</f>
        <v>Bosnia-Herzegovina</v>
      </c>
      <c r="G9" s="26" t="str">
        <f>VLOOKUP($N9,Config!$D$1:$K$65,4,FALSE)</f>
        <v>Cuiabá</v>
      </c>
      <c r="H9" s="563">
        <f>VLOOKUP($N9,Config!$D$1:$M$65,9,FALSE)</f>
        <v>41811</v>
      </c>
      <c r="I9" s="563"/>
      <c r="J9" s="564">
        <f>VLOOKUP($N9,Config!$D$1:$M$65,10,FALSE)</f>
        <v>41811.729166666664</v>
      </c>
      <c r="K9" s="564"/>
      <c r="L9" s="565" t="str">
        <f t="shared" ca="1" si="1"/>
        <v>faltan 9 días</v>
      </c>
      <c r="M9" s="565"/>
      <c r="N9" s="27">
        <v>28</v>
      </c>
      <c r="O9" s="19"/>
      <c r="P9" s="29"/>
      <c r="Q9" s="562" t="s">
        <v>65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Nigeria</v>
      </c>
      <c r="C10" s="23"/>
      <c r="D10" s="24" t="s">
        <v>24</v>
      </c>
      <c r="E10" s="23"/>
      <c r="F10" s="25" t="str">
        <f>VLOOKUP($N10,Config!$D$1:$K$65,6,FALSE)</f>
        <v>Argentina</v>
      </c>
      <c r="G10" s="26" t="str">
        <f>VLOOKUP($N10,Config!$D$1:$K$65,4,FALSE)</f>
        <v>Porto Alegre</v>
      </c>
      <c r="H10" s="563">
        <f>VLOOKUP($N10,Config!$D$1:$M$65,9,FALSE)</f>
        <v>41815</v>
      </c>
      <c r="I10" s="563"/>
      <c r="J10" s="564">
        <f>VLOOKUP($N10,Config!$D$1:$M$65,10,FALSE)</f>
        <v>41815.479166666664</v>
      </c>
      <c r="K10" s="564"/>
      <c r="L10" s="565" t="str">
        <f t="shared" ca="1" si="1"/>
        <v>faltan 13 días</v>
      </c>
      <c r="M10" s="565"/>
      <c r="N10" s="27">
        <v>43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Bosnia-Herzegovina</v>
      </c>
      <c r="C11" s="23"/>
      <c r="D11" s="24" t="s">
        <v>24</v>
      </c>
      <c r="E11" s="23"/>
      <c r="F11" s="25" t="str">
        <f>VLOOKUP($N11,Config!$D$1:$K$65,6,FALSE)</f>
        <v>Irán</v>
      </c>
      <c r="G11" s="26" t="str">
        <f>VLOOKUP($N11,Config!$D$1:$K$65,4,FALSE)</f>
        <v>Salvador</v>
      </c>
      <c r="H11" s="563">
        <f>VLOOKUP($N11,Config!$D$1:$M$65,9,FALSE)</f>
        <v>41815</v>
      </c>
      <c r="I11" s="563"/>
      <c r="J11" s="564">
        <f>VLOOKUP($N11,Config!$D$1:$M$65,10,FALSE)</f>
        <v>41815.479166666664</v>
      </c>
      <c r="K11" s="564"/>
      <c r="L11" s="565" t="str">
        <f t="shared" ca="1" si="1"/>
        <v>faltan 13 días</v>
      </c>
      <c r="M11" s="565"/>
      <c r="N11" s="27">
        <v>44</v>
      </c>
      <c r="O11" s="19"/>
      <c r="P11" s="29"/>
      <c r="Q11" s="562" t="s">
        <v>66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67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Argentina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Bosnia-Herzegovina</v>
      </c>
      <c r="C17" s="45"/>
      <c r="D17" s="1"/>
      <c r="E17" s="1"/>
      <c r="F17" s="49" t="s">
        <v>47</v>
      </c>
      <c r="G17" s="50" t="str">
        <f t="array" ref="G17:P20">Obtiene_Datos($B$6:$F$11,$B$16:$C$19)</f>
        <v>Argentina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Irán</v>
      </c>
      <c r="C18" s="45"/>
      <c r="D18" s="1"/>
      <c r="E18" s="1"/>
      <c r="F18" s="49" t="s">
        <v>47</v>
      </c>
      <c r="G18" s="50" t="str">
        <v>Bosnia-Herzegovina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Nigeria</v>
      </c>
      <c r="C19" s="45"/>
      <c r="D19" s="1"/>
      <c r="E19" s="1"/>
      <c r="F19" s="3"/>
      <c r="G19" s="55" t="str">
        <v>Irán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Nigeria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80" priority="4" stopIfTrue="1">
      <formula>IF(AND($H$17=3,$H$18=3,$H$19=3,$H$20=3),1,0)</formula>
    </cfRule>
  </conditionalFormatting>
  <conditionalFormatting sqref="G17:O18">
    <cfRule type="expression" dxfId="279" priority="3" stopIfTrue="1">
      <formula>IF(AND($H$17=3,$H$18=3,$H$19=3,$H$20=3),1,0)</formula>
    </cfRule>
  </conditionalFormatting>
  <conditionalFormatting sqref="B6:K11">
    <cfRule type="expression" dxfId="278" priority="2" stopIfTrue="1">
      <formula>IF(OR($L6="en juego",$L6="hoy!"),1,0)</formula>
    </cfRule>
  </conditionalFormatting>
  <conditionalFormatting sqref="B16:C19">
    <cfRule type="expression" dxfId="277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F -'!A1" tooltip="Menu Principal" display="Menu Principal"/>
  </hyperlink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AO56"/>
  <sheetViews>
    <sheetView showGridLines="0" showRowColHeaders="0" workbookViewId="0">
      <selection activeCell="F14" sqref="F14"/>
    </sheetView>
  </sheetViews>
  <sheetFormatPr defaultColWidth="11.42578125" defaultRowHeight="15" x14ac:dyDescent="0.25"/>
  <cols>
    <col min="1" max="1" width="2.7109375" customWidth="1"/>
    <col min="2" max="2" width="14.7109375" customWidth="1"/>
    <col min="3" max="3" width="3.7109375" customWidth="1"/>
    <col min="4" max="4" width="1.7109375" customWidth="1"/>
    <col min="5" max="5" width="3.7109375" customWidth="1"/>
    <col min="6" max="7" width="14.7109375" customWidth="1"/>
    <col min="8" max="11" width="3.7109375" customWidth="1"/>
    <col min="12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1.7109375" customWidth="1"/>
    <col min="21" max="24" width="4.7109375" customWidth="1"/>
    <col min="25" max="25" width="3.7109375" customWidth="1"/>
    <col min="26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68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Alemania</v>
      </c>
      <c r="C6" s="23"/>
      <c r="D6" s="24" t="s">
        <v>24</v>
      </c>
      <c r="E6" s="23"/>
      <c r="F6" s="25" t="str">
        <f>VLOOKUP($N6,Config!$D$1:$K$65,6,FALSE)</f>
        <v>Portugal</v>
      </c>
      <c r="G6" s="26" t="str">
        <f>VLOOKUP($N6,Config!$D$1:$K$65,4,FALSE)</f>
        <v>Salvador</v>
      </c>
      <c r="H6" s="563">
        <f>VLOOKUP($N6,Config!$D$1:$M$65,9,FALSE)</f>
        <v>41806</v>
      </c>
      <c r="I6" s="563"/>
      <c r="J6" s="564">
        <f>VLOOKUP($N6,Config!$D$1:$M$65,10,FALSE)</f>
        <v>41806.479166666664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4 días</v>
      </c>
      <c r="M6" s="565"/>
      <c r="N6" s="27">
        <v>13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77" t="str">
        <f>VLOOKUP($N7,Config!$D$1:$K$65,5,FALSE)</f>
        <v>Ghana</v>
      </c>
      <c r="C7" s="23"/>
      <c r="D7" s="24" t="s">
        <v>24</v>
      </c>
      <c r="E7" s="23"/>
      <c r="F7" s="25" t="str">
        <f>VLOOKUP($N7,Config!$D$1:$K$65,6,FALSE)</f>
        <v>EEUU</v>
      </c>
      <c r="G7" s="26" t="str">
        <f>VLOOKUP($N7,Config!$D$1:$K$65,4,FALSE)</f>
        <v xml:space="preserve">Natal </v>
      </c>
      <c r="H7" s="563">
        <f>VLOOKUP($N7,Config!$D$1:$M$65,9,FALSE)</f>
        <v>41806</v>
      </c>
      <c r="I7" s="563"/>
      <c r="J7" s="564">
        <f>VLOOKUP($N7,Config!$D$1:$M$65,10,FALSE)</f>
        <v>41806.729166666664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4 días</v>
      </c>
      <c r="M7" s="565"/>
      <c r="N7" s="27">
        <v>14</v>
      </c>
      <c r="O7" s="28"/>
      <c r="P7" s="29"/>
      <c r="Q7" s="562" t="s">
        <v>69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Alemania</v>
      </c>
      <c r="C8" s="23"/>
      <c r="D8" s="24" t="s">
        <v>24</v>
      </c>
      <c r="E8" s="23"/>
      <c r="F8" s="25" t="str">
        <f>VLOOKUP($N8,Config!$D$1:$K$65,6,FALSE)</f>
        <v>Ghana</v>
      </c>
      <c r="G8" s="26" t="str">
        <f>VLOOKUP($N8,Config!$D$1:$K$65,4,FALSE)</f>
        <v>Fortaleza</v>
      </c>
      <c r="H8" s="563">
        <f>VLOOKUP($N8,Config!$D$1:$M$65,9,FALSE)</f>
        <v>41811</v>
      </c>
      <c r="I8" s="563"/>
      <c r="J8" s="564">
        <f>VLOOKUP($N8,Config!$D$1:$M$65,10,FALSE)</f>
        <v>41811.604166666664</v>
      </c>
      <c r="K8" s="564"/>
      <c r="L8" s="565" t="str">
        <f t="shared" ca="1" si="1"/>
        <v>faltan 9 días</v>
      </c>
      <c r="M8" s="565"/>
      <c r="N8" s="27">
        <v>29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EEUU</v>
      </c>
      <c r="C9" s="23"/>
      <c r="D9" s="24" t="s">
        <v>24</v>
      </c>
      <c r="E9" s="23"/>
      <c r="F9" s="25" t="str">
        <f>VLOOKUP($N9,Config!$D$1:$K$65,6,FALSE)</f>
        <v>Portugal</v>
      </c>
      <c r="G9" s="26" t="str">
        <f>VLOOKUP($N9,Config!$D$1:$K$65,4,FALSE)</f>
        <v>Manaos</v>
      </c>
      <c r="H9" s="563">
        <f>VLOOKUP($N9,Config!$D$1:$M$65,9,FALSE)</f>
        <v>41812</v>
      </c>
      <c r="I9" s="563"/>
      <c r="J9" s="564">
        <f>VLOOKUP($N9,Config!$D$1:$M$65,10,FALSE)</f>
        <v>41812.729166666664</v>
      </c>
      <c r="K9" s="564"/>
      <c r="L9" s="565" t="str">
        <f t="shared" ca="1" si="1"/>
        <v>faltan 10 días</v>
      </c>
      <c r="M9" s="565"/>
      <c r="N9" s="27">
        <v>30</v>
      </c>
      <c r="O9" s="19"/>
      <c r="P9" s="29"/>
      <c r="Q9" s="562" t="s">
        <v>70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EEUU</v>
      </c>
      <c r="C10" s="23"/>
      <c r="D10" s="24" t="s">
        <v>24</v>
      </c>
      <c r="E10" s="23"/>
      <c r="F10" s="25" t="str">
        <f>VLOOKUP($N10,Config!$D$1:$K$65,6,FALSE)</f>
        <v>Alemania</v>
      </c>
      <c r="G10" s="26" t="str">
        <f>VLOOKUP($N10,Config!$D$1:$K$65,4,FALSE)</f>
        <v>Recife</v>
      </c>
      <c r="H10" s="563">
        <f>VLOOKUP($N10,Config!$D$1:$M$65,9,FALSE)</f>
        <v>41816</v>
      </c>
      <c r="I10" s="563"/>
      <c r="J10" s="564">
        <f>VLOOKUP($N10,Config!$D$1:$M$65,10,FALSE)</f>
        <v>41816.479166666664</v>
      </c>
      <c r="K10" s="564"/>
      <c r="L10" s="565" t="str">
        <f t="shared" ca="1" si="1"/>
        <v>faltan 14 días</v>
      </c>
      <c r="M10" s="565"/>
      <c r="N10" s="27">
        <v>45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Portugal</v>
      </c>
      <c r="C11" s="23"/>
      <c r="D11" s="24" t="s">
        <v>24</v>
      </c>
      <c r="E11" s="23"/>
      <c r="F11" s="25" t="str">
        <f>VLOOKUP($N11,Config!$D$1:$K$65,6,FALSE)</f>
        <v>Ghana</v>
      </c>
      <c r="G11" s="26" t="str">
        <f>VLOOKUP($N11,Config!$D$1:$K$65,4,FALSE)</f>
        <v>Brasilia</v>
      </c>
      <c r="H11" s="563">
        <f>VLOOKUP($N11,Config!$D$1:$M$65,9,FALSE)</f>
        <v>41816</v>
      </c>
      <c r="I11" s="563"/>
      <c r="J11" s="564">
        <f>VLOOKUP($N11,Config!$D$1:$M$65,10,FALSE)</f>
        <v>41816.479166666664</v>
      </c>
      <c r="K11" s="564"/>
      <c r="L11" s="565" t="str">
        <f t="shared" ca="1" si="1"/>
        <v>faltan 14 días</v>
      </c>
      <c r="M11" s="565"/>
      <c r="N11" s="27">
        <v>46</v>
      </c>
      <c r="O11" s="19"/>
      <c r="P11" s="29"/>
      <c r="Q11" s="562" t="s">
        <v>71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35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72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Alemania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Portugal</v>
      </c>
      <c r="C17" s="45"/>
      <c r="D17" s="1"/>
      <c r="E17" s="1"/>
      <c r="F17" s="49" t="s">
        <v>47</v>
      </c>
      <c r="G17" s="50" t="str">
        <f t="array" ref="G17:P20">Obtiene_Datos($B$6:$F$11,$B$16:$C$19)</f>
        <v>Alemania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Ghana</v>
      </c>
      <c r="C18" s="45"/>
      <c r="D18" s="1"/>
      <c r="E18" s="1"/>
      <c r="F18" s="49" t="s">
        <v>47</v>
      </c>
      <c r="G18" s="50" t="str">
        <v>Portugal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EEUU</v>
      </c>
      <c r="C19" s="45"/>
      <c r="D19" s="1"/>
      <c r="E19" s="1"/>
      <c r="F19" s="3"/>
      <c r="G19" s="55" t="str">
        <v>Ghana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EEUU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63"/>
      <c r="C24" s="10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76" priority="4" stopIfTrue="1">
      <formula>IF(AND($H$17=3,$H$18=3,$H$19=3,$H$20=3),1,0)</formula>
    </cfRule>
  </conditionalFormatting>
  <conditionalFormatting sqref="G17:O18">
    <cfRule type="expression" dxfId="275" priority="3" stopIfTrue="1">
      <formula>IF(AND($H$17=3,$H$18=3,$H$19=3,$H$20=3),1,0)</formula>
    </cfRule>
  </conditionalFormatting>
  <conditionalFormatting sqref="B6:K11">
    <cfRule type="expression" dxfId="274" priority="2" stopIfTrue="1">
      <formula>IF(OR($L6="en juego",$L6="hoy!"),1,0)</formula>
    </cfRule>
  </conditionalFormatting>
  <conditionalFormatting sqref="B16:C19">
    <cfRule type="expression" dxfId="273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G -'!A1" tooltip="Menu Principal" display="Menu Principal"/>
  </hyperlinks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AO56"/>
  <sheetViews>
    <sheetView showGridLines="0" showRowColHeaders="0" workbookViewId="0">
      <selection activeCell="F15" sqref="F15"/>
    </sheetView>
  </sheetViews>
  <sheetFormatPr defaultColWidth="11.42578125" defaultRowHeight="15" x14ac:dyDescent="0.25"/>
  <cols>
    <col min="1" max="1" width="2.7109375" customWidth="1"/>
    <col min="2" max="2" width="21.7109375" customWidth="1"/>
    <col min="3" max="3" width="3.7109375" customWidth="1"/>
    <col min="4" max="4" width="1.7109375" customWidth="1"/>
    <col min="5" max="5" width="3.7109375" customWidth="1"/>
    <col min="6" max="6" width="21.7109375" customWidth="1"/>
    <col min="7" max="7" width="15.7109375" customWidth="1"/>
    <col min="8" max="11" width="3.7109375" customWidth="1"/>
    <col min="12" max="13" width="5.140625" customWidth="1"/>
    <col min="14" max="14" width="3.7109375" customWidth="1"/>
    <col min="15" max="15" width="4.7109375" customWidth="1"/>
    <col min="16" max="16" width="5.7109375" customWidth="1"/>
    <col min="17" max="18" width="7.7109375" customWidth="1"/>
    <col min="19" max="19" width="5.7109375" customWidth="1"/>
    <col min="20" max="20" width="2.7109375" customWidth="1"/>
    <col min="21" max="24" width="4.7109375" customWidth="1"/>
    <col min="25" max="26" width="3.7109375" customWidth="1"/>
    <col min="27" max="27" width="4.7109375" customWidth="1"/>
    <col min="28" max="56" width="11.7109375" customWidth="1"/>
  </cols>
  <sheetData>
    <row r="1" spans="1:41" ht="50.25" customHeight="1" x14ac:dyDescent="0.25">
      <c r="A1" s="556" t="s">
        <v>17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1" customHeight="1" x14ac:dyDescent="0.25">
      <c r="A3" s="1"/>
      <c r="B3" s="1"/>
      <c r="C3" s="1"/>
      <c r="D3" s="1"/>
      <c r="E3" s="1"/>
      <c r="F3" s="1"/>
      <c r="G3" s="16"/>
      <c r="H3" s="1"/>
      <c r="I3" s="1"/>
      <c r="J3" s="1"/>
      <c r="K3" s="1"/>
      <c r="L3" s="17"/>
      <c r="M3" s="18"/>
      <c r="N3" s="1"/>
      <c r="O3" s="1"/>
      <c r="P3" s="1"/>
      <c r="Q3" s="1"/>
      <c r="R3" s="16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</row>
    <row r="4" spans="1:41" ht="12.95" customHeight="1" x14ac:dyDescent="0.25">
      <c r="A4" s="1"/>
      <c r="B4" s="557" t="s">
        <v>18</v>
      </c>
      <c r="C4" s="557"/>
      <c r="D4" s="557"/>
      <c r="E4" s="557"/>
      <c r="F4" s="557"/>
      <c r="G4" s="557"/>
      <c r="H4" s="557"/>
      <c r="I4" s="557"/>
      <c r="J4" s="557"/>
      <c r="K4" s="557"/>
      <c r="L4" s="557"/>
      <c r="M4" s="557"/>
      <c r="N4" s="1"/>
      <c r="O4" s="1"/>
      <c r="P4" s="568" t="s">
        <v>73</v>
      </c>
      <c r="Q4" s="569"/>
      <c r="R4" s="569"/>
      <c r="S4" s="569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1:41" ht="12.95" customHeight="1" x14ac:dyDescent="0.25">
      <c r="A5" s="1"/>
      <c r="B5" s="19"/>
      <c r="C5" s="19"/>
      <c r="D5" s="19"/>
      <c r="E5" s="19"/>
      <c r="F5" s="19"/>
      <c r="G5" s="20" t="s">
        <v>20</v>
      </c>
      <c r="H5" s="560" t="s">
        <v>21</v>
      </c>
      <c r="I5" s="560"/>
      <c r="J5" s="561" t="s">
        <v>22</v>
      </c>
      <c r="K5" s="561"/>
      <c r="L5" s="561" t="s">
        <v>23</v>
      </c>
      <c r="M5" s="561"/>
      <c r="N5" s="1"/>
      <c r="O5" s="1"/>
      <c r="P5" s="569"/>
      <c r="Q5" s="569"/>
      <c r="R5" s="569"/>
      <c r="S5" s="56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1:41" ht="14.1" customHeight="1" x14ac:dyDescent="0.25">
      <c r="A6" s="21" t="str">
        <f t="shared" ref="A6:A11" ca="1" si="0">IF(OR(L6="finalizado",L6="en juego",L6="hoy!"),"Ø","")</f>
        <v/>
      </c>
      <c r="B6" s="22" t="str">
        <f>VLOOKUP($N6,Config!$D$1:$K$65,5,FALSE)</f>
        <v>Bélgica</v>
      </c>
      <c r="C6" s="23"/>
      <c r="D6" s="24" t="s">
        <v>24</v>
      </c>
      <c r="E6" s="23"/>
      <c r="F6" s="25" t="str">
        <f>VLOOKUP($N6,Config!$D$1:$K$65,6,FALSE)</f>
        <v>Argelia</v>
      </c>
      <c r="G6" s="26" t="str">
        <f>VLOOKUP($N6,Config!$D$1:$K$65,4,FALSE)</f>
        <v>Belo Horizonte</v>
      </c>
      <c r="H6" s="563">
        <f>VLOOKUP($N6,Config!$D$1:$M$65,9,FALSE)</f>
        <v>41807</v>
      </c>
      <c r="I6" s="563"/>
      <c r="J6" s="564">
        <f>VLOOKUP($N6,Config!$D$1:$M$65,10,FALSE)</f>
        <v>41807.479166666664</v>
      </c>
      <c r="K6" s="564"/>
      <c r="L6" s="565" t="str">
        <f ca="1">IF(OR(H6="",J6=""),"",IF(H6&gt;$Q$24,"faltan " &amp; H6-$Q$24 &amp; " días",IF(($Q$24+$R$24)&gt;(J6+(2/24)),"finalizado",IF(($Q$24+$R$24)&lt;J6,"hoy!","en juego"))))</f>
        <v>faltan 5 días</v>
      </c>
      <c r="M6" s="565"/>
      <c r="N6" s="27">
        <v>15</v>
      </c>
      <c r="O6" s="19"/>
      <c r="P6" s="1"/>
      <c r="Q6" s="1"/>
      <c r="R6" s="16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1:41" ht="14.1" customHeight="1" x14ac:dyDescent="0.35">
      <c r="A7" s="21" t="str">
        <f t="shared" ca="1" si="0"/>
        <v/>
      </c>
      <c r="B7" s="22" t="str">
        <f>VLOOKUP($N7,Config!$D$1:$K$65,5,FALSE)</f>
        <v>Rusia</v>
      </c>
      <c r="C7" s="23"/>
      <c r="D7" s="24" t="s">
        <v>24</v>
      </c>
      <c r="E7" s="23"/>
      <c r="F7" s="25" t="str">
        <f>VLOOKUP($N7,Config!$D$1:$K$65,6,FALSE)</f>
        <v>República de Corea</v>
      </c>
      <c r="G7" s="26" t="str">
        <f>VLOOKUP($N7,Config!$D$1:$K$65,4,FALSE)</f>
        <v>Cuiabá</v>
      </c>
      <c r="H7" s="563">
        <f>VLOOKUP($N7,Config!$D$1:$M$65,9,FALSE)</f>
        <v>41807</v>
      </c>
      <c r="I7" s="563"/>
      <c r="J7" s="564">
        <f>VLOOKUP($N7,Config!$D$1:$M$65,10,FALSE)</f>
        <v>41807.729166666664</v>
      </c>
      <c r="K7" s="564"/>
      <c r="L7" s="565" t="str">
        <f t="shared" ref="L7:L11" ca="1" si="1">IF(OR(H7="",J7=""),"",IF(H7&gt;$Q$24,"faltan " &amp; H7-$Q$24 &amp; " días",IF(($Q$24+$R$24)&gt;(J7+(2/24)),"finalizado",IF(($Q$24+$R$24)&lt;J7,"hoy!","en juego"))))</f>
        <v>faltan 5 días</v>
      </c>
      <c r="M7" s="565"/>
      <c r="N7" s="27">
        <v>16</v>
      </c>
      <c r="O7" s="28"/>
      <c r="P7" s="29"/>
      <c r="Q7" s="562" t="s">
        <v>74</v>
      </c>
      <c r="R7" s="562"/>
      <c r="S7" s="29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</row>
    <row r="8" spans="1:41" ht="14.1" customHeight="1" x14ac:dyDescent="0.4">
      <c r="A8" s="21" t="str">
        <f t="shared" ca="1" si="0"/>
        <v/>
      </c>
      <c r="B8" s="22" t="str">
        <f>VLOOKUP($N8,Config!$D$1:$K$65,5,FALSE)</f>
        <v>Bélgica</v>
      </c>
      <c r="C8" s="23"/>
      <c r="D8" s="24" t="s">
        <v>24</v>
      </c>
      <c r="E8" s="23"/>
      <c r="F8" s="25" t="str">
        <f>VLOOKUP($N8,Config!$D$1:$K$65,6,FALSE)</f>
        <v>Rusia</v>
      </c>
      <c r="G8" s="26" t="str">
        <f>VLOOKUP($N8,Config!$D$1:$K$65,4,FALSE)</f>
        <v>Río de Janeiro</v>
      </c>
      <c r="H8" s="563">
        <f>VLOOKUP($N8,Config!$D$1:$M$65,9,FALSE)</f>
        <v>41812</v>
      </c>
      <c r="I8" s="563"/>
      <c r="J8" s="564">
        <f>VLOOKUP($N8,Config!$D$1:$M$65,10,FALSE)</f>
        <v>41812.479166666664</v>
      </c>
      <c r="K8" s="564"/>
      <c r="L8" s="565" t="str">
        <f t="shared" ca="1" si="1"/>
        <v>faltan 10 días</v>
      </c>
      <c r="M8" s="565"/>
      <c r="N8" s="27">
        <v>31</v>
      </c>
      <c r="O8" s="30"/>
      <c r="P8" s="1"/>
      <c r="Q8" s="3"/>
      <c r="R8" s="31"/>
      <c r="S8" s="19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</row>
    <row r="9" spans="1:41" ht="14.1" customHeight="1" x14ac:dyDescent="0.25">
      <c r="A9" s="21" t="str">
        <f t="shared" ca="1" si="0"/>
        <v/>
      </c>
      <c r="B9" s="22" t="str">
        <f>VLOOKUP($N9,Config!$D$1:$K$65,5,FALSE)</f>
        <v>República de Corea</v>
      </c>
      <c r="C9" s="23"/>
      <c r="D9" s="24" t="s">
        <v>24</v>
      </c>
      <c r="E9" s="23"/>
      <c r="F9" s="25" t="str">
        <f>VLOOKUP($N9,Config!$D$1:$K$65,6,FALSE)</f>
        <v>Argelia</v>
      </c>
      <c r="G9" s="26" t="str">
        <f>VLOOKUP($N9,Config!$D$1:$K$65,4,FALSE)</f>
        <v>Porto Alegre</v>
      </c>
      <c r="H9" s="563">
        <f>VLOOKUP($N9,Config!$D$1:$M$65,9,FALSE)</f>
        <v>41812</v>
      </c>
      <c r="I9" s="563"/>
      <c r="J9" s="564">
        <f>VLOOKUP($N9,Config!$D$1:$M$65,10,FALSE)</f>
        <v>41812.604166666664</v>
      </c>
      <c r="K9" s="564"/>
      <c r="L9" s="565" t="str">
        <f t="shared" ca="1" si="1"/>
        <v>faltan 10 días</v>
      </c>
      <c r="M9" s="565"/>
      <c r="N9" s="27">
        <v>32</v>
      </c>
      <c r="O9" s="19"/>
      <c r="P9" s="29"/>
      <c r="Q9" s="562" t="s">
        <v>75</v>
      </c>
      <c r="R9" s="562"/>
      <c r="S9" s="29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</row>
    <row r="10" spans="1:41" ht="14.1" customHeight="1" x14ac:dyDescent="0.25">
      <c r="A10" s="21" t="str">
        <f t="shared" ca="1" si="0"/>
        <v/>
      </c>
      <c r="B10" s="22" t="str">
        <f>VLOOKUP($N10,Config!$D$1:$K$65,5,FALSE)</f>
        <v>República de Corea</v>
      </c>
      <c r="C10" s="23"/>
      <c r="D10" s="24" t="s">
        <v>24</v>
      </c>
      <c r="E10" s="23"/>
      <c r="F10" s="25" t="str">
        <f>VLOOKUP($N10,Config!$D$1:$K$65,6,FALSE)</f>
        <v>Bélgica</v>
      </c>
      <c r="G10" s="26" t="str">
        <f>VLOOKUP($N10,Config!$D$1:$K$65,4,FALSE)</f>
        <v>São Paulo</v>
      </c>
      <c r="H10" s="563">
        <f>VLOOKUP($N10,Config!$D$1:$M$65,9,FALSE)</f>
        <v>41816</v>
      </c>
      <c r="I10" s="563"/>
      <c r="J10" s="564">
        <f>VLOOKUP($N10,Config!$D$1:$M$65,10,FALSE)</f>
        <v>41816.645833333336</v>
      </c>
      <c r="K10" s="564"/>
      <c r="L10" s="565" t="str">
        <f t="shared" ca="1" si="1"/>
        <v>faltan 14 días</v>
      </c>
      <c r="M10" s="565"/>
      <c r="N10" s="27">
        <v>47</v>
      </c>
      <c r="O10" s="19"/>
      <c r="P10" s="1"/>
      <c r="Q10" s="3"/>
      <c r="R10" s="31"/>
      <c r="S10" s="19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</row>
    <row r="11" spans="1:41" ht="14.1" customHeight="1" x14ac:dyDescent="0.25">
      <c r="A11" s="21" t="str">
        <f t="shared" ca="1" si="0"/>
        <v/>
      </c>
      <c r="B11" s="22" t="str">
        <f>VLOOKUP($N11,Config!$D$1:$K$65,5,FALSE)</f>
        <v>Argelia</v>
      </c>
      <c r="C11" s="23"/>
      <c r="D11" s="24" t="s">
        <v>24</v>
      </c>
      <c r="E11" s="23"/>
      <c r="F11" s="25" t="str">
        <f>VLOOKUP($N11,Config!$D$1:$K$65,6,FALSE)</f>
        <v>Rusia</v>
      </c>
      <c r="G11" s="26" t="str">
        <f>VLOOKUP($N11,Config!$D$1:$K$65,4,FALSE)</f>
        <v>Curitiba</v>
      </c>
      <c r="H11" s="563">
        <f>VLOOKUP($N11,Config!$D$1:$M$65,9,FALSE)</f>
        <v>41816</v>
      </c>
      <c r="I11" s="563"/>
      <c r="J11" s="564">
        <f>VLOOKUP($N11,Config!$D$1:$M$65,10,FALSE)</f>
        <v>41816.645833333336</v>
      </c>
      <c r="K11" s="564"/>
      <c r="L11" s="565" t="str">
        <f t="shared" ca="1" si="1"/>
        <v>faltan 14 días</v>
      </c>
      <c r="M11" s="565"/>
      <c r="N11" s="27">
        <v>48</v>
      </c>
      <c r="O11" s="19"/>
      <c r="P11" s="29"/>
      <c r="Q11" s="562" t="s">
        <v>76</v>
      </c>
      <c r="R11" s="562"/>
      <c r="S11" s="29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</row>
    <row r="12" spans="1:41" ht="14.1" customHeight="1" x14ac:dyDescent="0.25">
      <c r="A12" s="19"/>
      <c r="B12" s="32"/>
      <c r="C12" s="33"/>
      <c r="D12" s="34"/>
      <c r="E12" s="33"/>
      <c r="F12" s="19"/>
      <c r="G12" s="35"/>
      <c r="H12" s="34"/>
      <c r="I12" s="36"/>
      <c r="J12" s="17"/>
      <c r="K12" s="37"/>
      <c r="L12" s="38"/>
      <c r="M12" s="38"/>
      <c r="N12" s="1"/>
      <c r="O12" s="19"/>
      <c r="P12" s="1"/>
      <c r="Q12" s="3"/>
      <c r="R12" s="31"/>
      <c r="S12" s="19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</row>
    <row r="13" spans="1:41" ht="14.1" customHeight="1" x14ac:dyDescent="0.25">
      <c r="A13" s="1"/>
      <c r="B13" s="32"/>
      <c r="C13" s="33"/>
      <c r="D13" s="34"/>
      <c r="E13" s="33"/>
      <c r="F13" s="19"/>
      <c r="G13" s="1"/>
      <c r="H13" s="34"/>
      <c r="I13" s="34"/>
      <c r="J13" s="17"/>
      <c r="K13" s="39"/>
      <c r="L13" s="38"/>
      <c r="M13" s="38"/>
      <c r="N13" s="1"/>
      <c r="O13" s="19"/>
      <c r="P13" s="29"/>
      <c r="Q13" s="562" t="s">
        <v>77</v>
      </c>
      <c r="R13" s="562"/>
      <c r="S13" s="29"/>
      <c r="T13" s="1"/>
      <c r="U13" s="1"/>
      <c r="V13" s="1"/>
      <c r="W13" s="1"/>
      <c r="X13" s="1"/>
      <c r="Y13" s="1"/>
      <c r="Z13" s="1"/>
      <c r="AA13" s="1"/>
      <c r="AB13" s="35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</row>
    <row r="14" spans="1:41" ht="14.1" customHeight="1" x14ac:dyDescent="0.25">
      <c r="A14" s="1"/>
      <c r="B14" s="32"/>
      <c r="C14" s="33"/>
      <c r="D14" s="34"/>
      <c r="E14" s="33"/>
      <c r="F14" s="19"/>
      <c r="G14" s="35"/>
      <c r="H14" s="34"/>
      <c r="I14" s="34"/>
      <c r="J14" s="17"/>
      <c r="K14" s="39"/>
      <c r="L14" s="38"/>
      <c r="M14" s="38"/>
      <c r="N14" s="1"/>
      <c r="O14" s="41"/>
      <c r="P14" s="1"/>
      <c r="Q14" s="42"/>
      <c r="R14" s="74"/>
      <c r="S14" s="19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</row>
    <row r="15" spans="1:41" ht="12.95" customHeight="1" x14ac:dyDescent="0.25">
      <c r="A15" s="1"/>
      <c r="B15" s="566" t="s">
        <v>29</v>
      </c>
      <c r="C15" s="567"/>
      <c r="D15" s="1"/>
      <c r="E15" s="1"/>
      <c r="F15" s="1"/>
      <c r="G15" s="557" t="s">
        <v>30</v>
      </c>
      <c r="H15" s="557"/>
      <c r="I15" s="557"/>
      <c r="J15" s="557"/>
      <c r="K15" s="557"/>
      <c r="L15" s="557"/>
      <c r="M15" s="557"/>
      <c r="N15" s="557"/>
      <c r="O15" s="557"/>
      <c r="P15" s="1"/>
      <c r="Q15" s="1"/>
      <c r="R15" s="16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</row>
    <row r="16" spans="1:41" ht="12.95" customHeight="1" x14ac:dyDescent="0.25">
      <c r="A16" s="1"/>
      <c r="B16" s="44" t="str">
        <f>Q7</f>
        <v>Bélgica</v>
      </c>
      <c r="C16" s="45"/>
      <c r="D16" s="1"/>
      <c r="E16" s="1"/>
      <c r="F16" s="1"/>
      <c r="G16" s="46"/>
      <c r="H16" s="47" t="s">
        <v>31</v>
      </c>
      <c r="I16" s="47" t="s">
        <v>32</v>
      </c>
      <c r="J16" s="47" t="s">
        <v>33</v>
      </c>
      <c r="K16" s="47" t="s">
        <v>34</v>
      </c>
      <c r="L16" s="47" t="s">
        <v>35</v>
      </c>
      <c r="M16" s="47" t="s">
        <v>36</v>
      </c>
      <c r="N16" s="47" t="s">
        <v>37</v>
      </c>
      <c r="O16" s="47" t="s">
        <v>38</v>
      </c>
      <c r="P16" s="1"/>
      <c r="Q16" s="1"/>
      <c r="R16" s="16"/>
      <c r="S16" s="48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</row>
    <row r="17" spans="1:41" ht="12.95" customHeight="1" x14ac:dyDescent="0.25">
      <c r="A17" s="1"/>
      <c r="B17" s="44" t="str">
        <f>Q9</f>
        <v>Argelia</v>
      </c>
      <c r="C17" s="45"/>
      <c r="D17" s="1"/>
      <c r="E17" s="1"/>
      <c r="F17" s="49" t="s">
        <v>47</v>
      </c>
      <c r="G17" s="50" t="str">
        <f t="array" ref="G17:P20">Obtiene_Datos($B$6:$F$11,$B$16:$C$19)</f>
        <v>Bélgica</v>
      </c>
      <c r="H17" s="51">
        <v>0</v>
      </c>
      <c r="I17" s="51">
        <v>0</v>
      </c>
      <c r="J17" s="51">
        <v>0</v>
      </c>
      <c r="K17" s="51">
        <v>0</v>
      </c>
      <c r="L17" s="51">
        <v>0</v>
      </c>
      <c r="M17" s="51">
        <v>0</v>
      </c>
      <c r="N17" s="51">
        <v>0</v>
      </c>
      <c r="O17" s="51">
        <v>0</v>
      </c>
      <c r="P17" s="52">
        <v>5000005000</v>
      </c>
      <c r="Q17" s="3"/>
      <c r="R17" s="31"/>
      <c r="S17" s="56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</row>
    <row r="18" spans="1:41" ht="12.95" customHeight="1" x14ac:dyDescent="0.25">
      <c r="A18" s="1"/>
      <c r="B18" s="44" t="str">
        <f>Q11</f>
        <v>Rusia</v>
      </c>
      <c r="C18" s="45"/>
      <c r="D18" s="1"/>
      <c r="E18" s="1"/>
      <c r="F18" s="49" t="s">
        <v>47</v>
      </c>
      <c r="G18" s="50" t="str">
        <v>Argelia</v>
      </c>
      <c r="H18" s="51">
        <v>0</v>
      </c>
      <c r="I18" s="51">
        <v>0</v>
      </c>
      <c r="J18" s="51">
        <v>0</v>
      </c>
      <c r="K18" s="51">
        <v>0</v>
      </c>
      <c r="L18" s="51">
        <v>0</v>
      </c>
      <c r="M18" s="51">
        <v>0</v>
      </c>
      <c r="N18" s="51">
        <v>0</v>
      </c>
      <c r="O18" s="51">
        <v>0</v>
      </c>
      <c r="P18" s="52">
        <v>5000005000</v>
      </c>
      <c r="Q18" s="3"/>
      <c r="R18" s="31"/>
      <c r="S18" s="56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</row>
    <row r="19" spans="1:41" ht="12.95" customHeight="1" x14ac:dyDescent="0.25">
      <c r="A19" s="1"/>
      <c r="B19" s="44" t="str">
        <f>Q13</f>
        <v>República de Corea</v>
      </c>
      <c r="C19" s="45"/>
      <c r="D19" s="1"/>
      <c r="E19" s="1"/>
      <c r="F19" s="3"/>
      <c r="G19" s="55" t="str">
        <v>Rusia</v>
      </c>
      <c r="H19" s="51">
        <v>0</v>
      </c>
      <c r="I19" s="51">
        <v>0</v>
      </c>
      <c r="J19" s="51">
        <v>0</v>
      </c>
      <c r="K19" s="51">
        <v>0</v>
      </c>
      <c r="L19" s="51">
        <v>0</v>
      </c>
      <c r="M19" s="51">
        <v>0</v>
      </c>
      <c r="N19" s="51">
        <v>0</v>
      </c>
      <c r="O19" s="51">
        <v>0</v>
      </c>
      <c r="P19" s="56">
        <v>5000005000</v>
      </c>
      <c r="Q19" s="3"/>
      <c r="R19" s="31"/>
      <c r="S19" s="56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</row>
    <row r="20" spans="1:41" ht="12.95" customHeight="1" x14ac:dyDescent="0.25">
      <c r="A20" s="1"/>
      <c r="B20" s="1"/>
      <c r="C20" s="1"/>
      <c r="D20" s="1"/>
      <c r="E20" s="1"/>
      <c r="F20" s="3"/>
      <c r="G20" s="55" t="str">
        <v>República de Corea</v>
      </c>
      <c r="H20" s="51">
        <v>0</v>
      </c>
      <c r="I20" s="51">
        <v>0</v>
      </c>
      <c r="J20" s="51">
        <v>0</v>
      </c>
      <c r="K20" s="51">
        <v>0</v>
      </c>
      <c r="L20" s="51">
        <v>0</v>
      </c>
      <c r="M20" s="51">
        <v>0</v>
      </c>
      <c r="N20" s="51">
        <v>0</v>
      </c>
      <c r="O20" s="51">
        <v>0</v>
      </c>
      <c r="P20" s="56">
        <v>5000005000</v>
      </c>
      <c r="Q20" s="59"/>
      <c r="R20" s="60"/>
      <c r="S20" s="59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</row>
    <row r="21" spans="1:41" ht="12.95" customHeight="1" x14ac:dyDescent="0.25">
      <c r="A21" s="1"/>
      <c r="B21" s="78"/>
      <c r="C21" s="79"/>
      <c r="D21" s="1"/>
      <c r="E21" s="2"/>
      <c r="F21" s="1"/>
      <c r="G21" s="1"/>
      <c r="H21" s="1"/>
      <c r="I21" s="1"/>
      <c r="J21" s="1"/>
      <c r="K21" s="1"/>
      <c r="L21" s="1"/>
      <c r="M21" s="1"/>
      <c r="N21" s="13"/>
      <c r="O21" s="13"/>
      <c r="P21" s="13"/>
      <c r="Q21" s="13"/>
      <c r="R21" s="61"/>
      <c r="S21" s="1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</row>
    <row r="22" spans="1:41" ht="11.1" customHeight="1" x14ac:dyDescent="0.25">
      <c r="A22" s="1"/>
      <c r="B22" s="78"/>
      <c r="C22" s="79"/>
      <c r="D22" s="1"/>
      <c r="E22" s="1"/>
      <c r="F22" s="1"/>
      <c r="G22" s="1"/>
      <c r="H22" s="1"/>
      <c r="I22" s="1"/>
      <c r="J22" s="1"/>
      <c r="K22" s="1"/>
      <c r="L22" s="1"/>
      <c r="M22" s="1"/>
      <c r="N22" s="13"/>
      <c r="O22" s="13"/>
      <c r="P22" s="13"/>
      <c r="Q22" s="13"/>
      <c r="R22" s="61"/>
      <c r="S22" s="1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</row>
    <row r="23" spans="1:41" ht="9" customHeight="1" x14ac:dyDescent="0.25">
      <c r="A23" s="1"/>
      <c r="B23" s="78"/>
      <c r="C23" s="79"/>
      <c r="D23" s="1"/>
      <c r="E23" s="1"/>
      <c r="F23" s="1"/>
      <c r="G23" s="1"/>
      <c r="H23" s="1"/>
      <c r="I23" s="1"/>
      <c r="J23" s="1"/>
      <c r="K23" s="1"/>
      <c r="L23" s="1"/>
      <c r="M23" s="1"/>
      <c r="N23" s="13"/>
      <c r="O23" s="13"/>
      <c r="P23" s="13"/>
      <c r="Q23" s="1"/>
      <c r="R23" s="62"/>
      <c r="S23" s="1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</row>
    <row r="24" spans="1:41" ht="14.1" customHeight="1" x14ac:dyDescent="0.25">
      <c r="A24" s="1"/>
      <c r="B24" s="78"/>
      <c r="C24" s="79"/>
      <c r="D24" s="1"/>
      <c r="E24" s="1"/>
      <c r="F24" s="1"/>
      <c r="G24" s="1"/>
      <c r="H24" s="1"/>
      <c r="I24" s="1"/>
      <c r="J24" s="1"/>
      <c r="K24" s="1"/>
      <c r="L24" s="1"/>
      <c r="M24" s="1"/>
      <c r="N24" s="64"/>
      <c r="O24" s="64"/>
      <c r="P24" s="65" t="s">
        <v>40</v>
      </c>
      <c r="Q24" s="66">
        <f ca="1">TODAY()</f>
        <v>41802</v>
      </c>
      <c r="R24" s="67">
        <f ca="1">NOW()</f>
        <v>41802.746032291667</v>
      </c>
      <c r="S24" s="68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</row>
    <row r="25" spans="1:41" hidden="1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70"/>
      <c r="O25" s="70"/>
      <c r="P25" s="70"/>
      <c r="Q25" s="71">
        <f ca="1">HOUR(R24)</f>
        <v>17</v>
      </c>
      <c r="R25" s="71">
        <f ca="1">MINUTE(R24)</f>
        <v>54</v>
      </c>
      <c r="S25" s="72"/>
      <c r="T25" s="69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</row>
    <row r="26" spans="1:41" hidden="1" x14ac:dyDescent="0.25">
      <c r="A26" s="1"/>
      <c r="B26" s="69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70"/>
      <c r="O26" s="70"/>
      <c r="P26" s="69"/>
      <c r="Q26" s="71"/>
      <c r="R26" s="73">
        <f ca="1">TIME(Q25,R25,0)</f>
        <v>0.74583333333333324</v>
      </c>
      <c r="S26" s="72"/>
      <c r="T26" s="69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</row>
    <row r="27" spans="1:41" ht="12.9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3"/>
      <c r="O27" s="13"/>
      <c r="P27" s="13"/>
      <c r="Q27" s="68"/>
      <c r="R27" s="68"/>
      <c r="S27" s="68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</row>
    <row r="28" spans="1:41" ht="12.9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3"/>
      <c r="O28" s="13"/>
      <c r="P28" s="13"/>
      <c r="Q28" s="549" t="s">
        <v>41</v>
      </c>
      <c r="R28" s="549"/>
      <c r="S28" s="68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</row>
    <row r="29" spans="1:41" ht="12.9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3"/>
      <c r="O29" s="13"/>
      <c r="P29" s="13"/>
      <c r="Q29" s="68"/>
      <c r="R29" s="68"/>
      <c r="S29" s="68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</row>
    <row r="30" spans="1:41" ht="12.9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</row>
    <row r="31" spans="1:41" ht="12.9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</row>
    <row r="32" spans="1:41" ht="12.9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</row>
    <row r="33" spans="1:41" ht="12.9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J6:K11" name="Rango1"/>
  </protectedRanges>
  <mergeCells count="31">
    <mergeCell ref="B15:C15"/>
    <mergeCell ref="G15:O15"/>
    <mergeCell ref="Q28:R28"/>
    <mergeCell ref="H10:I10"/>
    <mergeCell ref="J10:K10"/>
    <mergeCell ref="L10:M10"/>
    <mergeCell ref="H11:I11"/>
    <mergeCell ref="J11:K11"/>
    <mergeCell ref="L11:M11"/>
    <mergeCell ref="Q9:R9"/>
    <mergeCell ref="Q13:R13"/>
    <mergeCell ref="Q11:R11"/>
    <mergeCell ref="H6:I6"/>
    <mergeCell ref="J6:K6"/>
    <mergeCell ref="L6:M6"/>
    <mergeCell ref="H7:I7"/>
    <mergeCell ref="J7:K7"/>
    <mergeCell ref="L7:M7"/>
    <mergeCell ref="Q7:R7"/>
    <mergeCell ref="L8:M8"/>
    <mergeCell ref="H9:I9"/>
    <mergeCell ref="J9:K9"/>
    <mergeCell ref="L9:M9"/>
    <mergeCell ref="H8:I8"/>
    <mergeCell ref="J8:K8"/>
    <mergeCell ref="A1:R1"/>
    <mergeCell ref="B4:M4"/>
    <mergeCell ref="P4:S5"/>
    <mergeCell ref="H5:I5"/>
    <mergeCell ref="J5:K5"/>
    <mergeCell ref="L5:M5"/>
  </mergeCells>
  <phoneticPr fontId="108" type="noConversion"/>
  <conditionalFormatting sqref="F17:F18">
    <cfRule type="expression" dxfId="272" priority="4" stopIfTrue="1">
      <formula>IF(AND($H$17=3,$H$18=3,$H$19=3,$H$20=3),1,0)</formula>
    </cfRule>
  </conditionalFormatting>
  <conditionalFormatting sqref="G17:O18">
    <cfRule type="expression" dxfId="271" priority="3" stopIfTrue="1">
      <formula>IF(AND($H$17=3,$H$18=3,$H$19=3,$H$20=3),1,0)</formula>
    </cfRule>
  </conditionalFormatting>
  <conditionalFormatting sqref="B6:K11">
    <cfRule type="expression" dxfId="270" priority="2" stopIfTrue="1">
      <formula>IF(OR($L6="en juego",$L6="hoy!"),1,0)</formula>
    </cfRule>
  </conditionalFormatting>
  <conditionalFormatting sqref="B16:C19">
    <cfRule type="expression" dxfId="269" priority="1" stopIfTrue="1">
      <formula>IF(AND(COUNTIF($P$17:$P$20,VLOOKUP($B16,$G$16:$P$20,10,FALSE))&gt;1,MATCH(VLOOKUP($B16,$G$16:$P$20,10,FALSE),$P$17:$P$20,0)&lt;3),1,0)</formula>
    </cfRule>
  </conditionalFormatting>
  <dataValidations count="1">
    <dataValidation type="whole" allowBlank="1" showErrorMessage="1" errorTitle="Dato no válido" error="Ingrese sólo un número entero_x000a_entre 0 y 99." sqref="C6:C11 E6:E11">
      <formula1>0</formula1>
      <formula2>99</formula2>
    </dataValidation>
  </dataValidations>
  <hyperlinks>
    <hyperlink ref="Q28:R28" location="'- H -'!A1" tooltip="Menu Principal" display="Menu Principal"/>
  </hyperlink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O54"/>
  <sheetViews>
    <sheetView showGridLines="0" showRowColHeaders="0" workbookViewId="0">
      <pane ySplit="5" topLeftCell="A6" activePane="bottomLeft" state="frozen"/>
      <selection pane="bottomLeft" activeCell="V19" sqref="V19"/>
    </sheetView>
  </sheetViews>
  <sheetFormatPr defaultColWidth="11.42578125" defaultRowHeight="15" x14ac:dyDescent="0.25"/>
  <cols>
    <col min="1" max="1" width="1.7109375" customWidth="1"/>
    <col min="2" max="2" width="14.7109375" customWidth="1"/>
    <col min="3" max="4" width="6.7109375" customWidth="1"/>
    <col min="5" max="5" width="16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7.7109375" customWidth="1"/>
    <col min="11" max="11" width="3.7109375" customWidth="1"/>
    <col min="12" max="12" width="8.7109375" customWidth="1"/>
    <col min="13" max="13" width="5.7109375" customWidth="1"/>
    <col min="14" max="14" width="1.7109375" customWidth="1"/>
    <col min="15" max="15" width="11.7109375" customWidth="1"/>
    <col min="16" max="16" width="5.7109375" customWidth="1"/>
    <col min="17" max="17" width="4.7109375" customWidth="1"/>
    <col min="18" max="18" width="2.7109375" customWidth="1"/>
    <col min="19" max="25" width="4.7109375" customWidth="1"/>
    <col min="26" max="56" width="11.7109375" customWidth="1"/>
  </cols>
  <sheetData>
    <row r="1" spans="1:41" ht="50.25" customHeight="1" x14ac:dyDescent="0.25">
      <c r="A1" s="556" t="s">
        <v>548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5" customHeight="1" x14ac:dyDescent="0.25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2.95" customHeight="1" x14ac:dyDescent="0.25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84">
        <f ca="1">TODAY()</f>
        <v>41802</v>
      </c>
      <c r="M4" s="380">
        <f ca="1">NOW()</f>
        <v>41802.746032291667</v>
      </c>
      <c r="N4" s="3"/>
      <c r="O4" s="86" t="s">
        <v>41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 x14ac:dyDescent="0.25">
      <c r="A5" s="58"/>
      <c r="B5" s="570" t="s">
        <v>78</v>
      </c>
      <c r="C5" s="570"/>
      <c r="D5" s="570"/>
      <c r="E5" s="570" t="s">
        <v>79</v>
      </c>
      <c r="F5" s="570"/>
      <c r="G5" s="571" t="s">
        <v>80</v>
      </c>
      <c r="H5" s="571"/>
      <c r="I5" s="88"/>
      <c r="J5" s="87" t="s">
        <v>81</v>
      </c>
      <c r="K5" s="58"/>
      <c r="L5" s="89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5" customHeight="1" x14ac:dyDescent="0.25">
      <c r="A6" s="90"/>
      <c r="B6" s="91"/>
      <c r="C6" s="91"/>
      <c r="D6" s="91"/>
      <c r="E6" s="91"/>
      <c r="F6" s="91"/>
      <c r="G6" s="91"/>
      <c r="H6" s="91"/>
      <c r="I6" s="91"/>
      <c r="J6" s="91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58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2" customHeight="1" x14ac:dyDescent="0.25">
      <c r="A7" s="90"/>
      <c r="B7" s="56"/>
      <c r="C7" s="56"/>
      <c r="D7" s="91"/>
      <c r="E7" s="92" t="str">
        <f>IF(AND('- A -'!H17=0,'- A -'!G17&lt;&gt;""),"1ero Grupo A",'- A -'!G17)</f>
        <v>1ero Grupo A</v>
      </c>
      <c r="F7" s="93"/>
      <c r="G7" s="94"/>
      <c r="H7" s="95"/>
      <c r="I7" s="91"/>
      <c r="J7" s="9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2" customHeight="1" x14ac:dyDescent="0.25">
      <c r="A8" s="96" t="str">
        <f ca="1">IF(OR(E8="en juego",E8="hoy!",E8="finalizado"),"  -&gt;     1","1")</f>
        <v>1</v>
      </c>
      <c r="B8" s="97" t="str">
        <f>VLOOKUP($F8,Config!$D$1:$M$65,4,FALSE)</f>
        <v>Belo Horizonte</v>
      </c>
      <c r="C8" s="98">
        <f>VLOOKUP($F8,Config!$D$1:$M$65,9,FALSE)</f>
        <v>41818</v>
      </c>
      <c r="D8" s="99">
        <f>VLOOKUP($F8,Config!$D$1:$M$65,10,FALSE)</f>
        <v>41818.479166666664</v>
      </c>
      <c r="E8" s="100" t="str">
        <f ca="1">IF(OR(C8="",D8=""),"",IF(C8&gt;$L$4,"faltan " &amp; C8-$L$4 &amp; " días",IF(($L$4+$M$4)&gt;(D8+(2/24)),"finalizado",IF(($L$4+$M$4)&lt;D8,"hoy!","en juego"))))</f>
        <v>faltan 16 días</v>
      </c>
      <c r="F8" s="101">
        <v>49</v>
      </c>
      <c r="G8" s="102"/>
      <c r="H8" s="103"/>
      <c r="I8" s="104"/>
      <c r="J8" s="105" t="str">
        <f>IF(AND(E7&lt;&gt;"",E9&lt;&gt;""),IF(OR(F7="",F9="",AND(F7=F9,OR(G7="",G9=""))),"OF1",IF(F7=F9,IF(G7&gt;G9,E7,E9),IF(F7&gt;F9,E7,E9))),"")</f>
        <v>OF1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2" customHeight="1" x14ac:dyDescent="0.25">
      <c r="A9" s="90"/>
      <c r="B9" s="106"/>
      <c r="C9" s="56"/>
      <c r="D9" s="91"/>
      <c r="E9" s="92" t="str">
        <f>IF(AND('- B -'!H18=0,'- B -'!G18&lt;&gt;""),"2do Grupo B",'- B -'!G18)</f>
        <v>2do Grupo B</v>
      </c>
      <c r="F9" s="93"/>
      <c r="G9" s="107"/>
      <c r="H9" s="108"/>
      <c r="I9" s="91"/>
      <c r="J9" s="91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5" customHeight="1" x14ac:dyDescent="0.25">
      <c r="A10" s="90"/>
      <c r="B10" s="106"/>
      <c r="C10" s="91"/>
      <c r="D10" s="91"/>
      <c r="E10" s="91"/>
      <c r="F10" s="109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2" customHeight="1" x14ac:dyDescent="0.25">
      <c r="A11" s="90"/>
      <c r="B11" s="106"/>
      <c r="C11" s="56"/>
      <c r="D11" s="91"/>
      <c r="E11" s="92" t="str">
        <f>IF(AND('- C -'!H17=0,'- C -'!G17&lt;&gt;""),"1ero Grupo C",'- C -'!G17)</f>
        <v>1ero Grupo C</v>
      </c>
      <c r="F11" s="93"/>
      <c r="G11" s="94"/>
      <c r="H11" s="95"/>
      <c r="I11" s="91"/>
      <c r="J11" s="9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2" customHeight="1" x14ac:dyDescent="0.25">
      <c r="A12" s="96" t="str">
        <f ca="1">IF(OR(E12="en juego",E12="hoy!",E12="finalizado"),"  -&gt;     2","2")</f>
        <v>2</v>
      </c>
      <c r="B12" s="97" t="str">
        <f>VLOOKUP($F12,Config!$D$1:$M$65,4,FALSE)</f>
        <v>Río de Janeiro</v>
      </c>
      <c r="C12" s="98">
        <f>VLOOKUP($F12,Config!$D$1:$M$65,9,FALSE)</f>
        <v>41818</v>
      </c>
      <c r="D12" s="99">
        <f>VLOOKUP($F12,Config!$D$1:$M$65,10,FALSE)</f>
        <v>41818.645833333336</v>
      </c>
      <c r="E12" s="100" t="str">
        <f ca="1">IF(OR(C12="",D12=""),"",IF(C12&gt;$L$4,"faltan " &amp; C12-$L$4 &amp; " días",IF(($L$4+$M$4)&gt;(D12+(2/24)),"finalizado",IF(($L$4+$M$4)&lt;D12,"hoy!","en juego"))))</f>
        <v>faltan 16 días</v>
      </c>
      <c r="F12" s="101">
        <v>50</v>
      </c>
      <c r="G12" s="102"/>
      <c r="H12" s="103"/>
      <c r="I12" s="104"/>
      <c r="J12" s="105" t="str">
        <f>IF(AND(E11&lt;&gt;"",E13&lt;&gt;""),IF(OR(F11="",F13="",AND(F11=F13,OR(G11="",G13=""))),"OF2",IF(F11=F13,IF(G11&gt;G13,E11,E13),IF(F11&gt;F13,E11,E13))),"")</f>
        <v>OF2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2" customHeight="1" x14ac:dyDescent="0.25">
      <c r="A13" s="90"/>
      <c r="B13" s="106"/>
      <c r="C13" s="56"/>
      <c r="D13" s="91"/>
      <c r="E13" s="92" t="str">
        <f>IF(AND('- D -'!H18=0,'- D -'!G18&lt;&gt;""),"2do Grupo D",'- D -'!G18)</f>
        <v>2do Grupo D</v>
      </c>
      <c r="F13" s="93"/>
      <c r="G13" s="107"/>
      <c r="H13" s="108"/>
      <c r="I13" s="91"/>
      <c r="J13" s="91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 x14ac:dyDescent="0.25">
      <c r="A14" s="90"/>
      <c r="B14" s="106"/>
      <c r="C14" s="91"/>
      <c r="D14" s="91"/>
      <c r="E14" s="91"/>
      <c r="F14" s="109"/>
      <c r="G14" s="110"/>
      <c r="H14" s="91"/>
      <c r="I14" s="91"/>
      <c r="J14" s="91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2" customHeight="1" x14ac:dyDescent="0.25">
      <c r="A15" s="90"/>
      <c r="B15" s="106"/>
      <c r="C15" s="56"/>
      <c r="D15" s="91"/>
      <c r="E15" s="92" t="str">
        <f>IF(AND('- B -'!H17=0,'- B -'!G17&lt;&gt;""),"1ero Grupo B",'- B -'!G17)</f>
        <v>1ero Grupo B</v>
      </c>
      <c r="F15" s="93"/>
      <c r="G15" s="94"/>
      <c r="H15" s="95"/>
      <c r="I15" s="91"/>
      <c r="J15" s="9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2" customHeight="1" x14ac:dyDescent="0.25">
      <c r="A16" s="96" t="str">
        <f ca="1">IF(OR(E16="en juego",E16="hoy!",E16="finalizado"),"  -&gt;     3","3")</f>
        <v>3</v>
      </c>
      <c r="B16" s="97" t="str">
        <f>VLOOKUP($F16,Config!$D$1:$M$65,4,FALSE)</f>
        <v>Fortaleza</v>
      </c>
      <c r="C16" s="98">
        <f>VLOOKUP($F16,Config!$D$1:$M$65,9,FALSE)</f>
        <v>41819</v>
      </c>
      <c r="D16" s="99">
        <f>VLOOKUP($F16,Config!$D$1:$M$65,10,FALSE)</f>
        <v>41819.479166666664</v>
      </c>
      <c r="E16" s="100" t="str">
        <f ca="1">IF(OR(C16="",D16=""),"",IF(C16&gt;$L$4,"faltan " &amp; C16-$L$4 &amp; " días",IF(($L$4+$M$4)&gt;(D16+(2/24)),"finalizado",IF(($L$4+$M$4)&lt;D16,"hoy!","en juego"))))</f>
        <v>faltan 17 días</v>
      </c>
      <c r="F16" s="101">
        <v>51</v>
      </c>
      <c r="G16" s="102"/>
      <c r="H16" s="103"/>
      <c r="I16" s="104"/>
      <c r="J16" s="105" t="str">
        <f>IF(AND(E15&lt;&gt;"",E17&lt;&gt;""),IF(OR(F15="",F17="",AND(F15=F17,OR(G15="",G17=""))),"OF3",IF(F15=F17,IF(G15&gt;G17,E15,E17),IF(F15&gt;F17,E15,E17))),"")</f>
        <v>OF3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2" customHeight="1" x14ac:dyDescent="0.25">
      <c r="A17" s="90"/>
      <c r="B17" s="106"/>
      <c r="C17" s="56"/>
      <c r="D17" s="91"/>
      <c r="E17" s="92" t="str">
        <f>IF(AND('- A -'!H18=0,'- A -'!G18&lt;&gt;""),"2do Grupo A",'- A -'!G18)</f>
        <v>2do Grupo A</v>
      </c>
      <c r="F17" s="93"/>
      <c r="G17" s="107"/>
      <c r="H17" s="108"/>
      <c r="I17" s="91"/>
      <c r="J17" s="91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 x14ac:dyDescent="0.25">
      <c r="A18" s="90"/>
      <c r="B18" s="106"/>
      <c r="C18" s="91"/>
      <c r="D18" s="91"/>
      <c r="E18" s="91"/>
      <c r="F18" s="109"/>
      <c r="G18" s="110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2" customHeight="1" x14ac:dyDescent="0.25">
      <c r="A19" s="90"/>
      <c r="B19" s="106"/>
      <c r="C19" s="56"/>
      <c r="D19" s="91"/>
      <c r="E19" s="92" t="str">
        <f>IF(AND('- D -'!H17=0,'- D -'!G17&lt;&gt;""),"1ero Grupo D",'- D -'!G17)</f>
        <v>1ero Grupo D</v>
      </c>
      <c r="F19" s="93"/>
      <c r="G19" s="94"/>
      <c r="H19" s="95"/>
      <c r="I19" s="91"/>
      <c r="J19" s="91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2" customHeight="1" x14ac:dyDescent="0.25">
      <c r="A20" s="96" t="str">
        <f ca="1">IF(OR(E20="en juego",E20="hoy!",E20="finalizado"),"  -&gt;     4","4")</f>
        <v>4</v>
      </c>
      <c r="B20" s="97" t="str">
        <f>VLOOKUP($F20,Config!$D$1:$M$65,4,FALSE)</f>
        <v>Recife</v>
      </c>
      <c r="C20" s="98">
        <f>VLOOKUP($F20,Config!$D$1:$M$65,9,FALSE)</f>
        <v>41819</v>
      </c>
      <c r="D20" s="99">
        <f>VLOOKUP($F20,Config!$D$1:$M$65,10,FALSE)</f>
        <v>41819.645833333336</v>
      </c>
      <c r="E20" s="100" t="str">
        <f ca="1">IF(OR(C20="",D20=""),"",IF(C20&gt;$L$4,"faltan " &amp; C20-$L$4 &amp; " días",IF(($L$4+$M$4)&gt;(D20+(2/24)),"finalizado",IF(($L$4+$M$4)&lt;D20,"hoy!","en juego"))))</f>
        <v>faltan 17 días</v>
      </c>
      <c r="F20" s="101">
        <v>52</v>
      </c>
      <c r="G20" s="102"/>
      <c r="H20" s="103"/>
      <c r="I20" s="104"/>
      <c r="J20" s="105" t="str">
        <f>IF(AND(E19&lt;&gt;"",E21&lt;&gt;""),IF(OR(F19="",F21="",AND(F19=F21,OR(G19="",G21=""))),"OF4",IF(F19=F21,IF(G19&gt;G21,E19,E21),IF(F19&gt;F21,E19,E21))),"")</f>
        <v>OF4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2" customHeight="1" x14ac:dyDescent="0.25">
      <c r="A21" s="90"/>
      <c r="B21" s="106"/>
      <c r="C21" s="56"/>
      <c r="D21" s="91"/>
      <c r="E21" s="92" t="str">
        <f>IF(AND('- C -'!H18=0,'- C -'!G18&lt;&gt;""),"2do Grupo C",'- C -'!G18)</f>
        <v>2do Grupo C</v>
      </c>
      <c r="F21" s="93"/>
      <c r="G21" s="107"/>
      <c r="H21" s="108"/>
      <c r="I21" s="91"/>
      <c r="J21" s="9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 x14ac:dyDescent="0.25">
      <c r="A22" s="90"/>
      <c r="B22" s="106"/>
      <c r="C22" s="91"/>
      <c r="D22" s="91"/>
      <c r="E22" s="91"/>
      <c r="F22" s="109"/>
      <c r="G22" s="110"/>
      <c r="H22" s="91"/>
      <c r="I22" s="91"/>
      <c r="J22" s="91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2" customHeight="1" x14ac:dyDescent="0.25">
      <c r="A23" s="90"/>
      <c r="B23" s="106"/>
      <c r="C23" s="56"/>
      <c r="D23" s="91"/>
      <c r="E23" s="92" t="str">
        <f>IF(AND('- E -'!H17=0,'- E -'!G17&lt;&gt;""),"1ero Grupo E",'- E -'!G17)</f>
        <v>1ero Grupo E</v>
      </c>
      <c r="F23" s="93"/>
      <c r="G23" s="94"/>
      <c r="H23" s="95"/>
      <c r="I23" s="91"/>
      <c r="J23" s="91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12" customHeight="1" x14ac:dyDescent="0.25">
      <c r="A24" s="96" t="str">
        <f ca="1">IF(OR(E24="en juego",E24="hoy!",E24="finalizado"),"  -&gt;     5","5")</f>
        <v>5</v>
      </c>
      <c r="B24" s="97" t="str">
        <f>VLOOKUP($F24,Config!$D$1:$M$65,4,FALSE)</f>
        <v>Brasilia</v>
      </c>
      <c r="C24" s="98">
        <f>VLOOKUP($F24,Config!$D$1:$M$65,9,FALSE)</f>
        <v>41820</v>
      </c>
      <c r="D24" s="99">
        <f>VLOOKUP($F24,Config!$D$1:$M$65,10,FALSE)</f>
        <v>41820.479166666664</v>
      </c>
      <c r="E24" s="100" t="str">
        <f ca="1">IF(OR(C24="",D24=""),"",IF(C24&gt;$L$4,"faltan " &amp; C24-$L$4 &amp; " días",IF(($L$4+$M$4)&gt;(D24+(2/24)),"finalizado",IF(($L$4+$M$4)&lt;D24,"hoy!","en juego"))))</f>
        <v>faltan 18 días</v>
      </c>
      <c r="F24" s="101">
        <v>53</v>
      </c>
      <c r="G24" s="102"/>
      <c r="H24" s="103"/>
      <c r="I24" s="104"/>
      <c r="J24" s="105" t="str">
        <f>IF(AND(E23&lt;&gt;"",E25&lt;&gt;""),IF(OR(F23="",F25="",AND(F23=F25,OR(G23="",G25=""))),"OF5",IF(F23=F25,IF(G23&gt;G25,E23,E25),IF(F23&gt;F25,E23,E25))),"")</f>
        <v>OF5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2" customHeight="1" x14ac:dyDescent="0.25">
      <c r="A25" s="90"/>
      <c r="B25" s="106"/>
      <c r="C25" s="56"/>
      <c r="D25" s="91"/>
      <c r="E25" s="92" t="str">
        <f>IF(AND('- F -'!H18=0,'- F -'!G18&lt;&gt;""),"2do Grupo F",'- F -'!G18)</f>
        <v>2do Grupo F</v>
      </c>
      <c r="F25" s="93"/>
      <c r="G25" s="107"/>
      <c r="H25" s="108"/>
      <c r="I25" s="91"/>
      <c r="J25" s="91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5" customHeight="1" x14ac:dyDescent="0.25">
      <c r="A26" s="90"/>
      <c r="B26" s="106"/>
      <c r="C26" s="91"/>
      <c r="D26" s="91"/>
      <c r="E26" s="91"/>
      <c r="F26" s="109"/>
      <c r="G26" s="110"/>
      <c r="H26" s="91"/>
      <c r="I26" s="91"/>
      <c r="J26" s="91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" customHeight="1" x14ac:dyDescent="0.25">
      <c r="A27" s="90"/>
      <c r="B27" s="106"/>
      <c r="C27" s="56"/>
      <c r="D27" s="91"/>
      <c r="E27" s="92" t="str">
        <f>IF(AND('- G -'!H17=0,'- G -'!G17&lt;&gt;""),"1ero Grupo G",'- G -'!G17)</f>
        <v>1ero Grupo G</v>
      </c>
      <c r="F27" s="93"/>
      <c r="G27" s="94"/>
      <c r="H27" s="95"/>
      <c r="I27" s="91"/>
      <c r="J27" s="91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" customHeight="1" x14ac:dyDescent="0.25">
      <c r="A28" s="96" t="str">
        <f ca="1">IF(OR(E28="en juego",E28="hoy!",E28="finalizado"),"  -&gt;     6","6")</f>
        <v>6</v>
      </c>
      <c r="B28" s="97" t="str">
        <f>VLOOKUP($F28,Config!$D$1:$M$65,4,FALSE)</f>
        <v>Porto Alegre</v>
      </c>
      <c r="C28" s="98">
        <f>VLOOKUP($F28,Config!$D$1:$M$65,9,FALSE)</f>
        <v>41820</v>
      </c>
      <c r="D28" s="99">
        <f>VLOOKUP($F28,Config!$D$1:$M$65,10,FALSE)</f>
        <v>41820.645833333336</v>
      </c>
      <c r="E28" s="100" t="str">
        <f ca="1">IF(OR(C28="",D28=""),"",IF(C28&gt;$L$4,"faltan " &amp; C28-$L$4 &amp; " días",IF(($L$4+$M$4)&gt;(D28+(2/24)),"finalizado",IF(($L$4+$M$4)&lt;D28,"hoy!","en juego"))))</f>
        <v>faltan 18 días</v>
      </c>
      <c r="F28" s="101">
        <v>54</v>
      </c>
      <c r="G28" s="102"/>
      <c r="H28" s="103"/>
      <c r="I28" s="104"/>
      <c r="J28" s="105" t="str">
        <f>IF(AND(E27&lt;&gt;"",E29&lt;&gt;""),IF(OR(F27="",F29="",AND(F27=F29,OR(G27="",G29=""))),"OF6",IF(F27=F29,IF(G27&gt;G29,E27,E29),IF(F27&gt;F29,E27,E29))),"")</f>
        <v>OF6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" customHeight="1" x14ac:dyDescent="0.25">
      <c r="A29" s="90"/>
      <c r="B29" s="106"/>
      <c r="C29" s="56"/>
      <c r="D29" s="91"/>
      <c r="E29" s="92" t="str">
        <f>IF(AND('- H -'!H18=0,'- H -'!G18&lt;&gt;""),"2do Grupo H",'- H -'!G18)</f>
        <v>2do Grupo H</v>
      </c>
      <c r="F29" s="93"/>
      <c r="G29" s="107"/>
      <c r="H29" s="108"/>
      <c r="I29" s="91"/>
      <c r="J29" s="91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5" customHeight="1" x14ac:dyDescent="0.25">
      <c r="A30" s="90"/>
      <c r="B30" s="106"/>
      <c r="C30" s="91"/>
      <c r="D30" s="91"/>
      <c r="E30" s="91"/>
      <c r="F30" s="109"/>
      <c r="G30" s="110"/>
      <c r="H30" s="91"/>
      <c r="I30" s="91"/>
      <c r="J30" s="91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" customHeight="1" x14ac:dyDescent="0.25">
      <c r="A31" s="90"/>
      <c r="B31" s="106"/>
      <c r="C31" s="56"/>
      <c r="D31" s="91"/>
      <c r="E31" s="92" t="str">
        <f>IF(AND('- F -'!H17=0,'- F -'!G17&lt;&gt;""),"1ero Grupo F",'- F -'!G17)</f>
        <v>1ero Grupo F</v>
      </c>
      <c r="F31" s="93"/>
      <c r="G31" s="94"/>
      <c r="H31" s="95"/>
      <c r="I31" s="91"/>
      <c r="J31" s="9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" customHeight="1" x14ac:dyDescent="0.25">
      <c r="A32" s="96" t="str">
        <f ca="1">IF(OR(E32="en juego",E32="hoy!",E32="finalizado"),"  -&gt;     7","7")</f>
        <v>7</v>
      </c>
      <c r="B32" s="97" t="str">
        <f>VLOOKUP($F32,Config!$D$1:$M$65,4,FALSE)</f>
        <v>São Paulo</v>
      </c>
      <c r="C32" s="98">
        <f>VLOOKUP($F32,Config!$D$1:$M$65,9,FALSE)</f>
        <v>41821</v>
      </c>
      <c r="D32" s="99">
        <f>VLOOKUP($F32,Config!$D$1:$M$65,10,FALSE)</f>
        <v>41821.479166666664</v>
      </c>
      <c r="E32" s="100" t="str">
        <f ca="1">IF(OR(C32="",D32=""),"",IF(C32&gt;$L$4,"faltan " &amp; C32-$L$4 &amp; " días",IF(($L$4+$M$4)&gt;(D32+(2/24)),"finalizado",IF(($L$4+$M$4)&lt;D32,"hoy!","en juego"))))</f>
        <v>faltan 19 días</v>
      </c>
      <c r="F32" s="101">
        <v>55</v>
      </c>
      <c r="G32" s="102"/>
      <c r="H32" s="103"/>
      <c r="I32" s="104"/>
      <c r="J32" s="105" t="str">
        <f>IF(AND(E31&lt;&gt;"",E33&lt;&gt;""),IF(OR(F31="",F33="",AND(F31=F33,OR(G31="",G33=""))),"OF7",IF(F31=F33,IF(G31&gt;G33,E31,E33),IF(F31&gt;F33,E31,E33))),"")</f>
        <v>OF7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" customHeight="1" x14ac:dyDescent="0.25">
      <c r="A33" s="90"/>
      <c r="B33" s="106"/>
      <c r="C33" s="56"/>
      <c r="D33" s="91"/>
      <c r="E33" s="92" t="str">
        <f>IF(AND('- E -'!H18=0,'- E -'!G18&lt;&gt;""),"2do Grupo E",'- E -'!G18)</f>
        <v>2do Grupo E</v>
      </c>
      <c r="F33" s="93"/>
      <c r="G33" s="107"/>
      <c r="H33" s="108"/>
      <c r="I33" s="91"/>
      <c r="J33" s="91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5" customHeight="1" x14ac:dyDescent="0.25">
      <c r="A34" s="90"/>
      <c r="B34" s="106"/>
      <c r="C34" s="91"/>
      <c r="D34" s="91"/>
      <c r="E34" s="91"/>
      <c r="F34" s="109"/>
      <c r="G34" s="110"/>
      <c r="H34" s="91"/>
      <c r="I34" s="91"/>
      <c r="J34" s="91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" customHeight="1" x14ac:dyDescent="0.25">
      <c r="A35" s="90"/>
      <c r="B35" s="106"/>
      <c r="C35" s="56"/>
      <c r="D35" s="91"/>
      <c r="E35" s="92" t="str">
        <f>IF(AND('- H -'!H17=0,'- H -'!G17&lt;&gt;""),"1ero Grupo H",'- H -'!G17)</f>
        <v>1ero Grupo H</v>
      </c>
      <c r="F35" s="93"/>
      <c r="G35" s="94"/>
      <c r="H35" s="95"/>
      <c r="I35" s="91"/>
      <c r="J35" s="91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" customHeight="1" x14ac:dyDescent="0.25">
      <c r="A36" s="96" t="str">
        <f ca="1">IF(OR(E36="en juego",E36="hoy!",E36="finalizado"),"  -&gt;     8","8")</f>
        <v>8</v>
      </c>
      <c r="B36" s="97" t="str">
        <f>VLOOKUP($F36,Config!$D$1:$M$65,4,FALSE)</f>
        <v>Salvador</v>
      </c>
      <c r="C36" s="98">
        <f>VLOOKUP($F36,Config!$D$1:$M$65,9,FALSE)</f>
        <v>41821</v>
      </c>
      <c r="D36" s="99">
        <f>VLOOKUP($F36,Config!$D$1:$M$65,10,FALSE)</f>
        <v>41821.645833333336</v>
      </c>
      <c r="E36" s="100" t="str">
        <f ca="1">IF(OR(C36="",D36=""),"",IF(C36&gt;$L$4,"faltan " &amp; C36-$L$4 &amp; " días",IF(($L$4+$M$4)&gt;(D36+(2/24)),"finalizado",IF(($L$4+$M$4)&lt;D36,"hoy!","en juego"))))</f>
        <v>faltan 19 días</v>
      </c>
      <c r="F36" s="101">
        <v>56</v>
      </c>
      <c r="G36" s="102"/>
      <c r="H36" s="103"/>
      <c r="I36" s="104"/>
      <c r="J36" s="105" t="str">
        <f>IF(AND(E35&lt;&gt;"",E37&lt;&gt;""),IF(OR(F35="",F37="",AND(F35=F37,OR(G35="",G37=""))),"OF8",IF(F35=F37,IF(G35&gt;G37,E35,E37),IF(F35&gt;F37,E35,E37))),"")</f>
        <v>OF8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" customHeight="1" x14ac:dyDescent="0.25">
      <c r="A37" s="90"/>
      <c r="B37" s="91"/>
      <c r="C37" s="56"/>
      <c r="D37" s="91"/>
      <c r="E37" s="92" t="str">
        <f>IF(AND('- G -'!H18=0,'- G -'!G18&lt;&gt;""),"2do Grupo G",'- G -'!G18)</f>
        <v>2do Grupo G</v>
      </c>
      <c r="F37" s="93"/>
      <c r="G37" s="107"/>
      <c r="H37" s="108"/>
      <c r="I37" s="91"/>
      <c r="J37" s="91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5" customHeight="1" x14ac:dyDescent="0.25">
      <c r="A38" s="111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72"/>
      <c r="R40" s="372"/>
      <c r="S40" s="372"/>
      <c r="T40" s="372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72"/>
      <c r="R41" s="373">
        <f ca="1">HOUR(M4)</f>
        <v>17</v>
      </c>
      <c r="S41" s="373">
        <f ca="1">MINUTE(M4)</f>
        <v>54</v>
      </c>
      <c r="T41" s="372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72"/>
      <c r="R42" s="373"/>
      <c r="S42" s="373">
        <f ca="1">TIME(R41,S41,0)</f>
        <v>0.74583333333333324</v>
      </c>
      <c r="T42" s="37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</sheetData>
  <sheetProtection sheet="1" objects="1" scenarios="1"/>
  <protectedRanges>
    <protectedRange sqref="D20 D8 D12 D16 D24 D28 D32 D36" name="Rango1"/>
  </protectedRanges>
  <mergeCells count="4">
    <mergeCell ref="B5:D5"/>
    <mergeCell ref="E5:F5"/>
    <mergeCell ref="G5:H5"/>
    <mergeCell ref="A1:N1"/>
  </mergeCells>
  <phoneticPr fontId="108" type="noConversion"/>
  <conditionalFormatting sqref="A8:D36">
    <cfRule type="expression" dxfId="268" priority="19" stopIfTrue="1">
      <formula>IF(OR($E8="en juego",$E8="hoy!"),1,0)</formula>
    </cfRule>
  </conditionalFormatting>
  <conditionalFormatting sqref="G7">
    <cfRule type="expression" dxfId="267" priority="16" stopIfTrue="1">
      <formula>IF(AND($F7=$F9,$F7&lt;&gt;"",$F9&lt;&gt;""),1,0)</formula>
    </cfRule>
  </conditionalFormatting>
  <conditionalFormatting sqref="G9">
    <cfRule type="expression" dxfId="266" priority="15" stopIfTrue="1">
      <formula>IF(AND($F7=$F9,$F7&lt;&gt;"",$F9&lt;&gt;""),1,0)</formula>
    </cfRule>
  </conditionalFormatting>
  <conditionalFormatting sqref="G11">
    <cfRule type="expression" dxfId="265" priority="14" stopIfTrue="1">
      <formula>IF(AND($F11=$F13,$F11&lt;&gt;"",$F13&lt;&gt;""),1,0)</formula>
    </cfRule>
  </conditionalFormatting>
  <conditionalFormatting sqref="G13">
    <cfRule type="expression" dxfId="264" priority="13" stopIfTrue="1">
      <formula>IF(AND($F11=$F13,$F11&lt;&gt;"",$F13&lt;&gt;""),1,0)</formula>
    </cfRule>
  </conditionalFormatting>
  <conditionalFormatting sqref="G15">
    <cfRule type="expression" dxfId="263" priority="12" stopIfTrue="1">
      <formula>IF(AND($F15=$F17,$F15&lt;&gt;"",$F17&lt;&gt;""),1,0)</formula>
    </cfRule>
  </conditionalFormatting>
  <conditionalFormatting sqref="G17">
    <cfRule type="expression" dxfId="262" priority="11" stopIfTrue="1">
      <formula>IF(AND($F15=$F17,$F15&lt;&gt;"",$F17&lt;&gt;""),1,0)</formula>
    </cfRule>
  </conditionalFormatting>
  <conditionalFormatting sqref="G19">
    <cfRule type="expression" dxfId="261" priority="10" stopIfTrue="1">
      <formula>IF(AND($F19=$F21,$F19&lt;&gt;"",$F21&lt;&gt;""),1,0)</formula>
    </cfRule>
  </conditionalFormatting>
  <conditionalFormatting sqref="G21">
    <cfRule type="expression" dxfId="260" priority="9" stopIfTrue="1">
      <formula>IF(AND($F19=$F21,$F19&lt;&gt;"",$F21&lt;&gt;""),1,0)</formula>
    </cfRule>
  </conditionalFormatting>
  <conditionalFormatting sqref="G23">
    <cfRule type="expression" dxfId="259" priority="8" stopIfTrue="1">
      <formula>IF(AND($F23=$F25,$F23&lt;&gt;"",$F25&lt;&gt;""),1,0)</formula>
    </cfRule>
  </conditionalFormatting>
  <conditionalFormatting sqref="G25">
    <cfRule type="expression" dxfId="258" priority="7" stopIfTrue="1">
      <formula>IF(AND($F23=$F25,$F23&lt;&gt;"",$F25&lt;&gt;""),1,0)</formula>
    </cfRule>
  </conditionalFormatting>
  <conditionalFormatting sqref="G27">
    <cfRule type="expression" dxfId="257" priority="6" stopIfTrue="1">
      <formula>IF(AND($F27=$F29,$F27&lt;&gt;"",$F29&lt;&gt;""),1,0)</formula>
    </cfRule>
  </conditionalFormatting>
  <conditionalFormatting sqref="G29">
    <cfRule type="expression" dxfId="256" priority="5" stopIfTrue="1">
      <formula>IF(AND($F27=$F29,$F27&lt;&gt;"",$F29&lt;&gt;""),1,0)</formula>
    </cfRule>
  </conditionalFormatting>
  <conditionalFormatting sqref="G31">
    <cfRule type="expression" dxfId="255" priority="4" stopIfTrue="1">
      <formula>IF(AND($F31=$F33,$F31&lt;&gt;"",$F33&lt;&gt;""),1,0)</formula>
    </cfRule>
  </conditionalFormatting>
  <conditionalFormatting sqref="G33">
    <cfRule type="expression" dxfId="254" priority="3" stopIfTrue="1">
      <formula>IF(AND($F31=$F33,$F31&lt;&gt;"",$F33&lt;&gt;""),1,0)</formula>
    </cfRule>
  </conditionalFormatting>
  <conditionalFormatting sqref="G35">
    <cfRule type="expression" dxfId="253" priority="2" stopIfTrue="1">
      <formula>IF(AND($F35=$F37,$F35&lt;&gt;"",$F37&lt;&gt;""),1,0)</formula>
    </cfRule>
  </conditionalFormatting>
  <conditionalFormatting sqref="G37">
    <cfRule type="expression" dxfId="252" priority="1" stopIfTrue="1">
      <formula>IF(AND($F35=$F37,$F35&lt;&gt;"",$F37&lt;&gt;""),1,0)</formula>
    </cfRule>
  </conditionalFormatting>
  <dataValidations disablePrompts="1" count="2">
    <dataValidation type="custom" showErrorMessage="1" errorTitle="Dato no válido" error="Debe introducir antes el resultado del partido." sqref="G7 G9 G19 G15 G11 G13 G17 G21 G23 G31 G33 G27 G29 G25 G35 G37">
      <formula1>IF(F7&lt;&gt;"",1,0)</formula1>
    </dataValidation>
    <dataValidation type="whole" allowBlank="1" showErrorMessage="1" errorTitle="Dato no válido" error="Ingrese sólo un número entero_x000a_entre 0 y 99." sqref="F37 F31 F35 F27 F33 F29 F23 F25 F21 F19 F17 F15 F13 F11 F9 F7">
      <formula1>0</formula1>
      <formula2>99</formula2>
    </dataValidation>
  </dataValidations>
  <hyperlinks>
    <hyperlink ref="O4" location="'Octavos de Final'!A1" tooltip="Menu Principal" display="Menu Principal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O56"/>
  <sheetViews>
    <sheetView showGridLines="0" showRowColHeaders="0" workbookViewId="0">
      <selection activeCell="T17" sqref="T17"/>
    </sheetView>
  </sheetViews>
  <sheetFormatPr defaultColWidth="11.42578125" defaultRowHeight="15" x14ac:dyDescent="0.25"/>
  <cols>
    <col min="1" max="1" width="1.7109375" customWidth="1"/>
    <col min="2" max="2" width="14.7109375" customWidth="1"/>
    <col min="3" max="4" width="6.7109375" customWidth="1"/>
    <col min="5" max="5" width="19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5.7109375" customWidth="1"/>
    <col min="11" max="11" width="3.7109375" customWidth="1"/>
    <col min="12" max="12" width="7.7109375" customWidth="1"/>
    <col min="13" max="13" width="5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23" width="3.7109375" customWidth="1"/>
    <col min="24" max="56" width="11.7109375" customWidth="1"/>
  </cols>
  <sheetData>
    <row r="1" spans="1:41" ht="50.25" customHeight="1" x14ac:dyDescent="0.25">
      <c r="A1" s="556" t="s">
        <v>549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5" customHeight="1" x14ac:dyDescent="0.25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112"/>
      <c r="T3" s="112"/>
      <c r="U3" s="112"/>
      <c r="V3" s="112"/>
      <c r="W3" s="112"/>
      <c r="X3" s="112"/>
      <c r="Y3" s="112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2.95" customHeight="1" x14ac:dyDescent="0.25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84">
        <f ca="1">TODAY()</f>
        <v>41802</v>
      </c>
      <c r="M4" s="85">
        <f ca="1">NOW()</f>
        <v>41802.746032291667</v>
      </c>
      <c r="N4" s="3"/>
      <c r="O4" s="86" t="s">
        <v>41</v>
      </c>
      <c r="P4" s="3"/>
      <c r="Q4" s="112"/>
      <c r="R4" s="112"/>
      <c r="S4" s="112"/>
      <c r="T4" s="112"/>
      <c r="U4" s="112"/>
      <c r="V4" s="112"/>
      <c r="W4" s="112"/>
      <c r="X4" s="112"/>
      <c r="Y4" s="112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 x14ac:dyDescent="0.25">
      <c r="A5" s="3"/>
      <c r="B5" s="570" t="s">
        <v>78</v>
      </c>
      <c r="C5" s="570"/>
      <c r="D5" s="570"/>
      <c r="E5" s="570" t="s">
        <v>79</v>
      </c>
      <c r="F5" s="570"/>
      <c r="G5" s="571" t="s">
        <v>80</v>
      </c>
      <c r="H5" s="571"/>
      <c r="I5" s="88"/>
      <c r="J5" s="87" t="s">
        <v>82</v>
      </c>
      <c r="K5" s="3"/>
      <c r="L5" s="10"/>
      <c r="M5" s="3"/>
      <c r="N5" s="3"/>
      <c r="O5" s="3"/>
      <c r="P5" s="3"/>
      <c r="Q5" s="112"/>
      <c r="R5" s="112"/>
      <c r="S5" s="112"/>
      <c r="T5" s="112"/>
      <c r="U5" s="112"/>
      <c r="V5" s="112"/>
      <c r="W5" s="112"/>
      <c r="X5" s="112"/>
      <c r="Y5" s="112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2" customHeight="1" x14ac:dyDescent="0.25">
      <c r="A6" s="113"/>
      <c r="B6" s="59"/>
      <c r="C6" s="59"/>
      <c r="D6" s="59"/>
      <c r="E6" s="91"/>
      <c r="F6" s="91"/>
      <c r="G6" s="91"/>
      <c r="H6" s="91"/>
      <c r="I6" s="91"/>
      <c r="J6" s="91"/>
      <c r="K6" s="3"/>
      <c r="L6" s="3"/>
      <c r="M6" s="3"/>
      <c r="N6" s="3"/>
      <c r="O6" s="3"/>
      <c r="P6" s="3"/>
      <c r="Q6" s="3"/>
      <c r="R6" s="3"/>
      <c r="S6" s="112"/>
      <c r="T6" s="112"/>
      <c r="U6" s="112"/>
      <c r="V6" s="112"/>
      <c r="W6" s="112"/>
      <c r="X6" s="112"/>
      <c r="Y6" s="112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4.1" customHeight="1" x14ac:dyDescent="0.25">
      <c r="A7" s="113"/>
      <c r="B7" s="59"/>
      <c r="C7" s="56"/>
      <c r="D7" s="59"/>
      <c r="E7" s="114" t="str">
        <f>'Octavos de Final'!J8</f>
        <v>OF1</v>
      </c>
      <c r="F7" s="115"/>
      <c r="G7" s="116"/>
      <c r="H7" s="95"/>
      <c r="I7" s="91"/>
      <c r="J7" s="91"/>
      <c r="K7" s="3"/>
      <c r="L7" s="3"/>
      <c r="M7" s="3"/>
      <c r="N7" s="3"/>
      <c r="O7" s="3"/>
      <c r="P7" s="3"/>
      <c r="Q7" s="3"/>
      <c r="R7" s="3"/>
      <c r="S7" s="112"/>
      <c r="T7" s="112"/>
      <c r="U7" s="112"/>
      <c r="V7" s="112"/>
      <c r="W7" s="112"/>
      <c r="X7" s="112"/>
      <c r="Y7" s="112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4.1" customHeight="1" x14ac:dyDescent="0.25">
      <c r="A8" s="117" t="str">
        <f ca="1">IF(OR(E8="en juego",E8="hoy!",E8="finalizado"),"  -&gt;     A","A")</f>
        <v>A</v>
      </c>
      <c r="B8" s="118" t="str">
        <f>VLOOKUP($F8,Config!$D$1:$M$65,4,FALSE)</f>
        <v>Fortaleza</v>
      </c>
      <c r="C8" s="119">
        <f>VLOOKUP($F8,Config!$D$1:$M$65,9,FALSE)</f>
        <v>41824</v>
      </c>
      <c r="D8" s="120">
        <f>VLOOKUP($F8,Config!$D$1:$M$65,10,FALSE)</f>
        <v>41824.645833333336</v>
      </c>
      <c r="E8" s="100" t="str">
        <f ca="1">IF(OR(C8="",D8=""),"",IF(C8&gt;$L$4,"faltan " &amp; C8-$L$4 &amp; " días",IF(($L$4+$M$4)&gt;(D8+(2/24)),"finalizado",IF(($L$4+$M$4)&lt;D8,"hoy!","en juego"))))</f>
        <v>faltan 22 días</v>
      </c>
      <c r="F8" s="101">
        <v>57</v>
      </c>
      <c r="G8" s="102"/>
      <c r="H8" s="103"/>
      <c r="I8" s="104"/>
      <c r="J8" s="121" t="str">
        <f>IF(AND(E7&lt;&gt;"",E9&lt;&gt;""),IF(OR(F7="",F9="",AND(F7=F9,OR(G7="",G9=""))),"CF1",IF(F7=F9,IF(G7&gt;G9,E7,E9),IF(F7&gt;F9,E7,E9))),"")</f>
        <v>CF1</v>
      </c>
      <c r="K8" s="3"/>
      <c r="L8" s="3"/>
      <c r="M8" s="3"/>
      <c r="N8" s="3"/>
      <c r="O8" s="3"/>
      <c r="P8" s="3"/>
      <c r="Q8" s="3"/>
      <c r="R8" s="3"/>
      <c r="S8" s="112"/>
      <c r="T8" s="112"/>
      <c r="U8" s="112"/>
      <c r="V8" s="112"/>
      <c r="W8" s="112"/>
      <c r="X8" s="112"/>
      <c r="Y8" s="11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4.1" customHeight="1" x14ac:dyDescent="0.25">
      <c r="A9" s="113"/>
      <c r="B9" s="122"/>
      <c r="C9" s="56"/>
      <c r="D9" s="59"/>
      <c r="E9" s="114" t="str">
        <f>'Octavos de Final'!J12</f>
        <v>OF2</v>
      </c>
      <c r="F9" s="115"/>
      <c r="G9" s="123"/>
      <c r="H9" s="108"/>
      <c r="I9" s="91"/>
      <c r="J9" s="91"/>
      <c r="K9" s="3"/>
      <c r="L9" s="3"/>
      <c r="M9" s="3"/>
      <c r="N9" s="3"/>
      <c r="O9" s="3"/>
      <c r="P9" s="3"/>
      <c r="Q9" s="3"/>
      <c r="R9" s="3"/>
      <c r="S9" s="112"/>
      <c r="T9" s="112"/>
      <c r="U9" s="112"/>
      <c r="V9" s="112"/>
      <c r="W9" s="112"/>
      <c r="X9" s="112"/>
      <c r="Y9" s="11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5" customHeight="1" x14ac:dyDescent="0.25">
      <c r="A10" s="113"/>
      <c r="B10" s="122"/>
      <c r="C10" s="59"/>
      <c r="D10" s="59"/>
      <c r="E10" s="124"/>
      <c r="F10" s="125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3"/>
      <c r="S10" s="112"/>
      <c r="T10" s="112"/>
      <c r="U10" s="112"/>
      <c r="V10" s="112"/>
      <c r="W10" s="112"/>
      <c r="X10" s="112"/>
      <c r="Y10" s="112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4.1" customHeight="1" x14ac:dyDescent="0.25">
      <c r="A11" s="113"/>
      <c r="B11" s="122"/>
      <c r="C11" s="56"/>
      <c r="D11" s="59"/>
      <c r="E11" s="114" t="str">
        <f>'Octavos de Final'!J24</f>
        <v>OF5</v>
      </c>
      <c r="F11" s="115"/>
      <c r="G11" s="116"/>
      <c r="H11" s="95"/>
      <c r="I11" s="91"/>
      <c r="J11" s="91"/>
      <c r="K11" s="3"/>
      <c r="L11" s="3"/>
      <c r="M11" s="3"/>
      <c r="N11" s="3"/>
      <c r="O11" s="3"/>
      <c r="P11" s="3"/>
      <c r="Q11" s="3"/>
      <c r="R11" s="3"/>
      <c r="S11" s="112"/>
      <c r="T11" s="112"/>
      <c r="U11" s="112"/>
      <c r="V11" s="112"/>
      <c r="W11" s="112"/>
      <c r="X11" s="112"/>
      <c r="Y11" s="112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4.1" customHeight="1" x14ac:dyDescent="0.25">
      <c r="A12" s="117" t="str">
        <f ca="1">IF(OR(E12="en juego",E12="hoy!",E12="finalizado"),"  -&gt;     B","B")</f>
        <v>B</v>
      </c>
      <c r="B12" s="118" t="str">
        <f>VLOOKUP($F12,Config!$D$1:$M$65,4,FALSE)</f>
        <v>Río de Janeiro</v>
      </c>
      <c r="C12" s="119">
        <f>VLOOKUP($F12,Config!$D$1:$M$65,9,FALSE)</f>
        <v>41824</v>
      </c>
      <c r="D12" s="120">
        <f>VLOOKUP($F12,Config!$D$1:$M$65,10,FALSE)</f>
        <v>41824.479166666664</v>
      </c>
      <c r="E12" s="100" t="str">
        <f ca="1">IF(OR(C12="",D12=""),"",IF(C12&gt;$L$4,"faltan " &amp; C12-$L$4 &amp; " días",IF(($L$4+$M$4)&gt;(D12+(2/24)),"finalizado",IF(($L$4+$M$4)&lt;D12,"hoy!","en juego"))))</f>
        <v>faltan 22 días</v>
      </c>
      <c r="F12" s="101">
        <v>58</v>
      </c>
      <c r="G12" s="102"/>
      <c r="H12" s="103"/>
      <c r="I12" s="104"/>
      <c r="J12" s="121" t="str">
        <f>IF(AND(E11&lt;&gt;"",E13&lt;&gt;""),IF(OR(F11="",F13="",AND(F11=F13,OR(G11="",G13=""))),"CF2",IF(F11=F13,IF(G11&gt;G13,E11,E13),IF(F11&gt;F13,E11,E13))),"")</f>
        <v>CF2</v>
      </c>
      <c r="K12" s="3"/>
      <c r="L12" s="3"/>
      <c r="M12" s="3"/>
      <c r="N12" s="3"/>
      <c r="O12" s="3"/>
      <c r="P12" s="3"/>
      <c r="Q12" s="3"/>
      <c r="R12" s="3"/>
      <c r="S12" s="112"/>
      <c r="T12" s="112"/>
      <c r="U12" s="112"/>
      <c r="V12" s="112"/>
      <c r="W12" s="112"/>
      <c r="X12" s="112"/>
      <c r="Y12" s="112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4.1" customHeight="1" x14ac:dyDescent="0.25">
      <c r="A13" s="113"/>
      <c r="B13" s="122"/>
      <c r="C13" s="56"/>
      <c r="D13" s="59"/>
      <c r="E13" s="114" t="str">
        <f>'Octavos de Final'!J28</f>
        <v>OF6</v>
      </c>
      <c r="F13" s="115"/>
      <c r="G13" s="123"/>
      <c r="H13" s="108"/>
      <c r="I13" s="91"/>
      <c r="J13" s="91"/>
      <c r="K13" s="3"/>
      <c r="L13" s="3"/>
      <c r="M13" s="3"/>
      <c r="N13" s="3"/>
      <c r="O13" s="3"/>
      <c r="P13" s="3"/>
      <c r="Q13" s="3"/>
      <c r="R13" s="3"/>
      <c r="S13" s="112"/>
      <c r="T13" s="112"/>
      <c r="U13" s="112"/>
      <c r="V13" s="112"/>
      <c r="W13" s="112"/>
      <c r="X13" s="112"/>
      <c r="Y13" s="112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 x14ac:dyDescent="0.25">
      <c r="A14" s="113"/>
      <c r="B14" s="122"/>
      <c r="C14" s="59"/>
      <c r="D14" s="59"/>
      <c r="E14" s="124"/>
      <c r="F14" s="125"/>
      <c r="G14" s="110"/>
      <c r="H14" s="91"/>
      <c r="I14" s="91"/>
      <c r="J14" s="91"/>
      <c r="K14" s="3"/>
      <c r="L14" s="3"/>
      <c r="M14" s="3"/>
      <c r="N14" s="3"/>
      <c r="O14" s="3"/>
      <c r="P14" s="3"/>
      <c r="Q14" s="3"/>
      <c r="R14" s="3"/>
      <c r="S14" s="112"/>
      <c r="T14" s="112"/>
      <c r="U14" s="112"/>
      <c r="V14" s="112"/>
      <c r="W14" s="112"/>
      <c r="X14" s="112"/>
      <c r="Y14" s="112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4.1" customHeight="1" x14ac:dyDescent="0.25">
      <c r="A15" s="113"/>
      <c r="B15" s="122"/>
      <c r="C15" s="56"/>
      <c r="D15" s="59"/>
      <c r="E15" s="114" t="str">
        <f>'Octavos de Final'!J16</f>
        <v>OF3</v>
      </c>
      <c r="F15" s="115"/>
      <c r="G15" s="116"/>
      <c r="H15" s="95"/>
      <c r="I15" s="91"/>
      <c r="J15" s="91"/>
      <c r="K15" s="3"/>
      <c r="L15" s="3"/>
      <c r="M15" s="3"/>
      <c r="N15" s="3"/>
      <c r="O15" s="3"/>
      <c r="P15" s="3"/>
      <c r="Q15" s="3"/>
      <c r="R15" s="3"/>
      <c r="S15" s="112"/>
      <c r="T15" s="112"/>
      <c r="U15" s="112"/>
      <c r="V15" s="112"/>
      <c r="W15" s="112"/>
      <c r="X15" s="112"/>
      <c r="Y15" s="112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4.1" customHeight="1" x14ac:dyDescent="0.25">
      <c r="A16" s="117" t="str">
        <f ca="1">IF(OR(E16="en juego",E16="hoy!",E16="finalizado"),"  -&gt;     C","C")</f>
        <v>C</v>
      </c>
      <c r="B16" s="118" t="str">
        <f>VLOOKUP($F16,Config!$D$1:$M$65,4,FALSE)</f>
        <v>Salvador</v>
      </c>
      <c r="C16" s="119">
        <f>VLOOKUP($F16,Config!$D$1:$M$65,9,FALSE)</f>
        <v>41825</v>
      </c>
      <c r="D16" s="120">
        <f>VLOOKUP($F16,Config!$D$1:$M$65,10,FALSE)</f>
        <v>41825.645833333336</v>
      </c>
      <c r="E16" s="100" t="str">
        <f ca="1">IF(OR(C16="",D16=""),"",IF(C16&gt;$L$4,"faltan " &amp; C16-$L$4 &amp; " días",IF(($L$4+$M$4)&gt;(D16+(2/24)),"finalizado",IF(($L$4+$M$4)&lt;D16,"hoy!","en juego"))))</f>
        <v>faltan 23 días</v>
      </c>
      <c r="F16" s="101">
        <v>59</v>
      </c>
      <c r="G16" s="102"/>
      <c r="H16" s="103"/>
      <c r="I16" s="104"/>
      <c r="J16" s="121" t="str">
        <f>IF(AND(E15&lt;&gt;"",E17&lt;&gt;""),IF(OR(F15="",F17="",AND(F15=F17,OR(G15="",G17=""))),"CF3",IF(F15=F17,IF(G15&gt;G17,E15,E17),IF(F15&gt;F17,E15,E17))),"")</f>
        <v>CF3</v>
      </c>
      <c r="K16" s="3"/>
      <c r="L16" s="3"/>
      <c r="M16" s="3"/>
      <c r="N16" s="3"/>
      <c r="O16" s="3"/>
      <c r="P16" s="3"/>
      <c r="Q16" s="3"/>
      <c r="R16" s="3"/>
      <c r="S16" s="112"/>
      <c r="T16" s="112"/>
      <c r="U16" s="112"/>
      <c r="V16" s="112"/>
      <c r="W16" s="112"/>
      <c r="X16" s="112"/>
      <c r="Y16" s="112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4.1" customHeight="1" x14ac:dyDescent="0.25">
      <c r="A17" s="113"/>
      <c r="B17" s="122"/>
      <c r="C17" s="56"/>
      <c r="D17" s="59"/>
      <c r="E17" s="114" t="str">
        <f>'Octavos de Final'!J20</f>
        <v>OF4</v>
      </c>
      <c r="F17" s="115"/>
      <c r="G17" s="123"/>
      <c r="H17" s="108"/>
      <c r="I17" s="91"/>
      <c r="J17" s="91"/>
      <c r="K17" s="3"/>
      <c r="L17" s="3"/>
      <c r="M17" s="3"/>
      <c r="N17" s="3"/>
      <c r="O17" s="3"/>
      <c r="P17" s="3"/>
      <c r="Q17" s="3"/>
      <c r="R17" s="3"/>
      <c r="S17" s="112"/>
      <c r="T17" s="112"/>
      <c r="U17" s="112"/>
      <c r="V17" s="112"/>
      <c r="W17" s="112"/>
      <c r="X17" s="112"/>
      <c r="Y17" s="112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 x14ac:dyDescent="0.25">
      <c r="A18" s="113"/>
      <c r="B18" s="122"/>
      <c r="C18" s="59"/>
      <c r="D18" s="59"/>
      <c r="E18" s="124"/>
      <c r="F18" s="125"/>
      <c r="G18" s="110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112"/>
      <c r="T18" s="112"/>
      <c r="U18" s="112"/>
      <c r="V18" s="112"/>
      <c r="W18" s="112"/>
      <c r="X18" s="112"/>
      <c r="Y18" s="112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 x14ac:dyDescent="0.25">
      <c r="A19" s="113"/>
      <c r="B19" s="122"/>
      <c r="C19" s="56"/>
      <c r="D19" s="59"/>
      <c r="E19" s="114" t="str">
        <f>'Octavos de Final'!J32</f>
        <v>OF7</v>
      </c>
      <c r="F19" s="115"/>
      <c r="G19" s="116"/>
      <c r="H19" s="95"/>
      <c r="I19" s="91"/>
      <c r="J19" s="91"/>
      <c r="K19" s="3"/>
      <c r="L19" s="3"/>
      <c r="M19" s="3"/>
      <c r="N19" s="3"/>
      <c r="O19" s="3"/>
      <c r="P19" s="3"/>
      <c r="Q19" s="3"/>
      <c r="R19" s="3"/>
      <c r="S19" s="112"/>
      <c r="T19" s="112"/>
      <c r="U19" s="112"/>
      <c r="V19" s="112"/>
      <c r="W19" s="112"/>
      <c r="X19" s="112"/>
      <c r="Y19" s="112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 x14ac:dyDescent="0.25">
      <c r="A20" s="117" t="str">
        <f ca="1">IF(OR(E20="en juego",E20="hoy!",E20="finalizado"),"  -&gt;     D","D")</f>
        <v>D</v>
      </c>
      <c r="B20" s="118" t="str">
        <f>VLOOKUP($F20,Config!$D$1:$M$65,4,FALSE)</f>
        <v>Brasilia</v>
      </c>
      <c r="C20" s="119">
        <f>VLOOKUP($F20,Config!$D$1:$M$65,9,FALSE)</f>
        <v>41825</v>
      </c>
      <c r="D20" s="120">
        <f>VLOOKUP($F20,Config!$D$1:$M$65,10,FALSE)</f>
        <v>41825.479166666664</v>
      </c>
      <c r="E20" s="100" t="str">
        <f ca="1">IF(OR(C20="",D20=""),"",IF(C20&gt;$L$4,"faltan " &amp; C20-$L$4 &amp; " días",IF(($L$4+$M$4)&gt;(D20+(2/24)),"finalizado",IF(($L$4+$M$4)&lt;D20,"hoy!","en juego"))))</f>
        <v>faltan 23 días</v>
      </c>
      <c r="F20" s="101">
        <v>60</v>
      </c>
      <c r="G20" s="102"/>
      <c r="H20" s="103"/>
      <c r="I20" s="104"/>
      <c r="J20" s="121" t="str">
        <f>IF(AND(E19&lt;&gt;"",E21&lt;&gt;""),IF(OR(F19="",F21="",AND(F19=F21,OR(G19="",G21=""))),"CF4",IF(F19=F21,IF(G19&gt;G21,E19,E21),IF(F19&gt;F21,E19,E21))),"")</f>
        <v>CF4</v>
      </c>
      <c r="K20" s="3"/>
      <c r="L20" s="3"/>
      <c r="M20" s="3"/>
      <c r="N20" s="3"/>
      <c r="O20" s="3"/>
      <c r="P20" s="3"/>
      <c r="Q20" s="3"/>
      <c r="R20" s="3"/>
      <c r="S20" s="112"/>
      <c r="T20" s="112"/>
      <c r="U20" s="112"/>
      <c r="V20" s="112"/>
      <c r="W20" s="112"/>
      <c r="X20" s="112"/>
      <c r="Y20" s="112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 x14ac:dyDescent="0.25">
      <c r="A21" s="113"/>
      <c r="B21" s="59"/>
      <c r="C21" s="56"/>
      <c r="D21" s="59"/>
      <c r="E21" s="114" t="str">
        <f>'Octavos de Final'!J36</f>
        <v>OF8</v>
      </c>
      <c r="F21" s="115"/>
      <c r="G21" s="123"/>
      <c r="H21" s="108"/>
      <c r="I21" s="91"/>
      <c r="J21" s="91"/>
      <c r="K21" s="3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 x14ac:dyDescent="0.25">
      <c r="A22" s="113"/>
      <c r="B22" s="59"/>
      <c r="C22" s="59"/>
      <c r="D22" s="59"/>
      <c r="E22" s="91"/>
      <c r="F22" s="91"/>
      <c r="G22" s="91"/>
      <c r="H22" s="91"/>
      <c r="I22" s="91"/>
      <c r="J22" s="91"/>
      <c r="K22" s="3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idden="1" x14ac:dyDescent="0.25">
      <c r="A23" s="90"/>
      <c r="B23" s="91"/>
      <c r="C23" s="91"/>
      <c r="D23" s="91"/>
      <c r="E23" s="91"/>
      <c r="F23" s="91"/>
      <c r="G23" s="91"/>
      <c r="H23" s="91"/>
      <c r="I23" s="91"/>
      <c r="J23" s="91"/>
      <c r="K23" s="3"/>
      <c r="L23" s="3"/>
      <c r="M23" s="3"/>
      <c r="N23" s="3"/>
      <c r="O23" s="3"/>
      <c r="P23" s="3"/>
      <c r="Q23" s="3"/>
      <c r="R23" s="71">
        <f ca="1">MINUTE(M4)</f>
        <v>54</v>
      </c>
      <c r="S23" s="112"/>
      <c r="T23" s="112"/>
      <c r="U23" s="112"/>
      <c r="V23" s="112"/>
      <c r="W23" s="112"/>
      <c r="X23" s="112"/>
      <c r="Y23" s="112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idden="1" x14ac:dyDescent="0.25">
      <c r="A24" s="90"/>
      <c r="B24" s="91"/>
      <c r="C24" s="91"/>
      <c r="D24" s="91"/>
      <c r="E24" s="91"/>
      <c r="F24" s="91"/>
      <c r="G24" s="91"/>
      <c r="H24" s="91"/>
      <c r="I24" s="91"/>
      <c r="J24" s="91"/>
      <c r="K24" s="3"/>
      <c r="L24" s="3"/>
      <c r="M24" s="3"/>
      <c r="N24" s="3"/>
      <c r="O24" s="3"/>
      <c r="P24" s="3"/>
      <c r="Q24" s="3"/>
      <c r="R24" s="73" t="e">
        <f ca="1">TIME(#REF!,R23,0)</f>
        <v>#REF!</v>
      </c>
      <c r="S24" s="112"/>
      <c r="T24" s="112"/>
      <c r="U24" s="112"/>
      <c r="V24" s="112"/>
      <c r="W24" s="112"/>
      <c r="X24" s="112"/>
      <c r="Y24" s="112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5" customHeight="1" x14ac:dyDescent="0.25">
      <c r="A25" s="111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112"/>
      <c r="T25" s="112"/>
      <c r="U25" s="112"/>
      <c r="V25" s="112"/>
      <c r="W25" s="112"/>
      <c r="X25" s="112"/>
      <c r="Y25" s="112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2.9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112"/>
      <c r="T26" s="112"/>
      <c r="U26" s="112"/>
      <c r="V26" s="112"/>
      <c r="W26" s="112"/>
      <c r="X26" s="112"/>
      <c r="Y26" s="112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.9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112"/>
      <c r="T27" s="112"/>
      <c r="U27" s="112"/>
      <c r="V27" s="112"/>
      <c r="W27" s="112"/>
      <c r="X27" s="112"/>
      <c r="Y27" s="112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.95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112"/>
      <c r="T28" s="112"/>
      <c r="U28" s="112"/>
      <c r="V28" s="112"/>
      <c r="W28" s="112"/>
      <c r="X28" s="112"/>
      <c r="Y28" s="112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.95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112"/>
      <c r="T29" s="112"/>
      <c r="U29" s="112"/>
      <c r="V29" s="112"/>
      <c r="W29" s="112"/>
      <c r="X29" s="112"/>
      <c r="Y29" s="112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112"/>
      <c r="T30" s="112"/>
      <c r="U30" s="112"/>
      <c r="V30" s="112"/>
      <c r="W30" s="112"/>
      <c r="X30" s="112"/>
      <c r="Y30" s="112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112"/>
      <c r="T31" s="112"/>
      <c r="U31" s="112"/>
      <c r="V31" s="112"/>
      <c r="W31" s="112"/>
      <c r="X31" s="112"/>
      <c r="Y31" s="112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112"/>
      <c r="T32" s="112"/>
      <c r="U32" s="112"/>
      <c r="V32" s="112"/>
      <c r="W32" s="112"/>
      <c r="X32" s="112"/>
      <c r="Y32" s="112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112"/>
      <c r="T33" s="112"/>
      <c r="U33" s="112"/>
      <c r="V33" s="112"/>
      <c r="W33" s="112"/>
      <c r="X33" s="112"/>
      <c r="Y33" s="112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2"/>
      <c r="T34" s="112"/>
      <c r="U34" s="112"/>
      <c r="V34" s="112"/>
      <c r="W34" s="112"/>
      <c r="X34" s="112"/>
      <c r="Y34" s="112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8 D12 D16 D20" name="Rango1"/>
  </protectedRanges>
  <mergeCells count="4">
    <mergeCell ref="B5:D5"/>
    <mergeCell ref="E5:F5"/>
    <mergeCell ref="G5:H5"/>
    <mergeCell ref="A1:N1"/>
  </mergeCells>
  <phoneticPr fontId="108" type="noConversion"/>
  <conditionalFormatting sqref="G7 G9">
    <cfRule type="expression" dxfId="251" priority="5" stopIfTrue="1">
      <formula>IF(AND($F$7=$F$9,$F$7&lt;&gt;"",$F$9&lt;&gt;""),1,0)</formula>
    </cfRule>
  </conditionalFormatting>
  <conditionalFormatting sqref="G11 G13">
    <cfRule type="expression" dxfId="250" priority="4" stopIfTrue="1">
      <formula>IF(AND($F$11=$F$13,$F$11&lt;&gt;"",$F$13&lt;&gt;""),1,0)</formula>
    </cfRule>
  </conditionalFormatting>
  <conditionalFormatting sqref="G15 G17">
    <cfRule type="expression" dxfId="249" priority="3" stopIfTrue="1">
      <formula>IF(AND($F$15=$F$17,$F$15&lt;&gt;"",$F$17&lt;&gt;""),1,0)</formula>
    </cfRule>
  </conditionalFormatting>
  <conditionalFormatting sqref="G19 G21">
    <cfRule type="expression" dxfId="248" priority="2" stopIfTrue="1">
      <formula>IF(AND($F$19=$F$21,$F$19&lt;&gt;"",$F$21&lt;&gt;""),1,0)</formula>
    </cfRule>
  </conditionalFormatting>
  <conditionalFormatting sqref="A8:D20">
    <cfRule type="expression" dxfId="247" priority="1" stopIfTrue="1">
      <formula>IF(OR($E8="en juego",$E8="hoy!"),1,0)</formula>
    </cfRule>
  </conditionalFormatting>
  <dataValidations count="3">
    <dataValidation type="whole" allowBlank="1" showInputMessage="1" showErrorMessage="1" errorTitle="Dato no válido" error="Ingrese sólo un número entero_x000a_entre 0 y 99." sqref="F9 F21 F13 F17">
      <formula1>0</formula1>
      <formula2>99</formula2>
    </dataValidation>
    <dataValidation type="whole" allowBlank="1" showInputMessage="1" showErrorMessage="1" errorTitle="Dato no válido." error="Ingrese sólo un número entero_x000a_entre 0 y 99." sqref="F7 F19 F15 F11">
      <formula1>0</formula1>
      <formula2>99</formula2>
    </dataValidation>
    <dataValidation type="custom" showErrorMessage="1" errorTitle="Dato no válido" error="Debe introducir antes el resultado del partido." sqref="G7 G9 G11 G13 G15 G17 G19 G21">
      <formula1>IF(F7&lt;&gt;"",1,0)</formula1>
    </dataValidation>
  </dataValidations>
  <hyperlinks>
    <hyperlink ref="O4" location="'Cuartos de Final'!A1" tooltip="Menu Principal" display="Menu Principal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O56"/>
  <sheetViews>
    <sheetView showGridLines="0" showRowColHeaders="0" workbookViewId="0">
      <selection activeCell="V12" sqref="V12"/>
    </sheetView>
  </sheetViews>
  <sheetFormatPr defaultColWidth="11.42578125" defaultRowHeight="15" x14ac:dyDescent="0.25"/>
  <cols>
    <col min="1" max="1" width="1.7109375" customWidth="1"/>
    <col min="2" max="2" width="14.7109375" customWidth="1"/>
    <col min="3" max="4" width="6.7109375" customWidth="1"/>
    <col min="5" max="5" width="22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18.5703125" customWidth="1"/>
    <col min="11" max="11" width="3.7109375" customWidth="1"/>
    <col min="12" max="12" width="7.7109375" customWidth="1"/>
    <col min="13" max="13" width="14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24" width="2.7109375" customWidth="1"/>
    <col min="25" max="56" width="11.7109375" customWidth="1"/>
  </cols>
  <sheetData>
    <row r="1" spans="1:41" ht="50.25" customHeight="1" x14ac:dyDescent="0.25">
      <c r="A1" s="556" t="s">
        <v>550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20.100000000000001" customHeight="1" x14ac:dyDescent="0.25">
      <c r="A3" s="3"/>
      <c r="B3" s="3"/>
      <c r="C3" s="3"/>
      <c r="D3" s="3"/>
      <c r="E3" s="58"/>
      <c r="F3" s="31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15" customHeight="1" x14ac:dyDescent="0.25">
      <c r="A4" s="3"/>
      <c r="B4" s="3"/>
      <c r="C4" s="3"/>
      <c r="D4" s="3"/>
      <c r="E4" s="83"/>
      <c r="F4" s="82"/>
      <c r="G4" s="3"/>
      <c r="H4" s="3"/>
      <c r="I4" s="3"/>
      <c r="J4" s="3"/>
      <c r="K4" s="3"/>
      <c r="L4" s="126">
        <f ca="1">TODAY()</f>
        <v>41802</v>
      </c>
      <c r="M4" s="127">
        <f ca="1">NOW()</f>
        <v>41802.746032291667</v>
      </c>
      <c r="N4" s="3"/>
      <c r="O4" s="86" t="s">
        <v>41</v>
      </c>
      <c r="P4" s="3"/>
      <c r="Q4" s="112"/>
      <c r="R4" s="112"/>
      <c r="S4" s="112"/>
      <c r="T4" s="112"/>
      <c r="U4" s="112"/>
      <c r="V4" s="112"/>
      <c r="W4" s="112"/>
      <c r="X4" s="112"/>
      <c r="Y4" s="112"/>
      <c r="Z4" s="112"/>
      <c r="AA4" s="112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2" customHeight="1" x14ac:dyDescent="0.25">
      <c r="A5" s="3"/>
      <c r="B5" s="570" t="s">
        <v>78</v>
      </c>
      <c r="C5" s="570"/>
      <c r="D5" s="570"/>
      <c r="E5" s="570" t="s">
        <v>79</v>
      </c>
      <c r="F5" s="570"/>
      <c r="G5" s="571" t="s">
        <v>80</v>
      </c>
      <c r="H5" s="571"/>
      <c r="I5" s="88"/>
      <c r="J5" s="87" t="s">
        <v>83</v>
      </c>
      <c r="K5" s="3"/>
      <c r="L5" s="128"/>
      <c r="M5" s="3"/>
      <c r="N5" s="3"/>
      <c r="O5" s="3"/>
      <c r="P5" s="3"/>
      <c r="Q5" s="112"/>
      <c r="R5" s="112"/>
      <c r="S5" s="112"/>
      <c r="T5" s="112"/>
      <c r="U5" s="112"/>
      <c r="V5" s="112"/>
      <c r="W5" s="112"/>
      <c r="X5" s="112"/>
      <c r="Y5" s="112"/>
      <c r="Z5" s="112"/>
      <c r="AA5" s="112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32.1" customHeight="1" x14ac:dyDescent="0.25">
      <c r="A6" s="113"/>
      <c r="B6" s="59"/>
      <c r="C6" s="59"/>
      <c r="D6" s="59"/>
      <c r="E6" s="91"/>
      <c r="F6" s="91"/>
      <c r="G6" s="91"/>
      <c r="H6" s="91"/>
      <c r="I6" s="91"/>
      <c r="J6" s="91"/>
      <c r="K6" s="3"/>
      <c r="L6" s="3"/>
      <c r="M6" s="129"/>
      <c r="N6" s="3"/>
      <c r="O6" s="3"/>
      <c r="P6" s="3"/>
      <c r="Q6" s="3"/>
      <c r="R6" s="112"/>
      <c r="S6" s="112"/>
      <c r="T6" s="112"/>
      <c r="U6" s="112"/>
      <c r="V6" s="112"/>
      <c r="W6" s="112"/>
      <c r="X6" s="112"/>
      <c r="Y6" s="112"/>
      <c r="Z6" s="112"/>
      <c r="AA6" s="112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5" customHeight="1" x14ac:dyDescent="0.25">
      <c r="A7" s="113"/>
      <c r="B7" s="59"/>
      <c r="C7" s="56"/>
      <c r="D7" s="59"/>
      <c r="E7" s="130" t="str">
        <f>'Cuartos de Final'!J8</f>
        <v>CF1</v>
      </c>
      <c r="F7" s="131"/>
      <c r="G7" s="116"/>
      <c r="H7" s="95"/>
      <c r="I7" s="91"/>
      <c r="J7" s="91"/>
      <c r="K7" s="3"/>
      <c r="L7" s="3"/>
      <c r="M7" s="3"/>
      <c r="N7" s="3"/>
      <c r="O7" s="3"/>
      <c r="P7" s="3"/>
      <c r="Q7" s="3"/>
      <c r="R7" s="112"/>
      <c r="S7" s="112"/>
      <c r="T7" s="112"/>
      <c r="U7" s="112"/>
      <c r="V7" s="112"/>
      <c r="W7" s="112"/>
      <c r="X7" s="112"/>
      <c r="Y7" s="112"/>
      <c r="Z7" s="112"/>
      <c r="AA7" s="112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5" customHeight="1" x14ac:dyDescent="0.25">
      <c r="A8" s="132" t="str">
        <f ca="1">IF(OR(E8="en juego",E8="hoy!",E8="finalizado"),"  -&gt;     1","1")</f>
        <v>1</v>
      </c>
      <c r="B8" s="118" t="str">
        <f>VLOOKUP($F8,Config!$D$1:$M$65,4,FALSE)</f>
        <v>Belo Horizonte</v>
      </c>
      <c r="C8" s="133">
        <f>VLOOKUP($F8,Config!$D$1:$M$65,9,FALSE)</f>
        <v>41828</v>
      </c>
      <c r="D8" s="134">
        <f>VLOOKUP($F8,Config!$D$1:$M$65,10,FALSE)</f>
        <v>41828.645833333336</v>
      </c>
      <c r="E8" s="100" t="str">
        <f ca="1">IF(OR(C8="",D8=""),"",IF(C8&gt;$L$4,"faltan " &amp; C8-$L$4 &amp; " días",IF(($L$4+$M$4)&gt;(D8+(2/24)),"finalizado",IF(($L$4+$M$4)&lt;D8,"hoy!","en juego"))))</f>
        <v>faltan 26 días</v>
      </c>
      <c r="F8" s="101">
        <v>61</v>
      </c>
      <c r="G8" s="102"/>
      <c r="H8" s="103"/>
      <c r="I8" s="104"/>
      <c r="J8" s="135" t="str">
        <f>IF(AND(E7&lt;&gt;"",E9&lt;&gt;""),IF(OR(F7="",F9="",AND(F7=F9,OR(G7="",G9=""))),"SF1",IF(F7=F9,IF(G7&gt;G9,E7,E9),IF(F7&gt;F9,E7,E9))),"")</f>
        <v>SF1</v>
      </c>
      <c r="K8" s="3"/>
      <c r="L8" s="3"/>
      <c r="M8" s="3"/>
      <c r="N8" s="3"/>
      <c r="O8" s="3"/>
      <c r="P8" s="3"/>
      <c r="Q8" s="3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5" customHeight="1" x14ac:dyDescent="0.25">
      <c r="A9" s="113"/>
      <c r="B9" s="122"/>
      <c r="C9" s="56"/>
      <c r="D9" s="59"/>
      <c r="E9" s="130" t="str">
        <f>'Cuartos de Final'!J12</f>
        <v>CF2</v>
      </c>
      <c r="F9" s="131"/>
      <c r="G9" s="123"/>
      <c r="H9" s="108"/>
      <c r="I9" s="91"/>
      <c r="J9" s="91"/>
      <c r="K9" s="3"/>
      <c r="L9" s="3"/>
      <c r="M9" s="3"/>
      <c r="N9" s="3"/>
      <c r="O9" s="3"/>
      <c r="P9" s="3"/>
      <c r="Q9" s="3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32.1" customHeight="1" x14ac:dyDescent="0.25">
      <c r="A10" s="113"/>
      <c r="B10" s="122"/>
      <c r="C10" s="59"/>
      <c r="D10" s="59"/>
      <c r="E10" s="124"/>
      <c r="F10" s="125"/>
      <c r="G10" s="110"/>
      <c r="H10" s="91"/>
      <c r="I10" s="91"/>
      <c r="J10" s="91"/>
      <c r="K10" s="3"/>
      <c r="L10" s="3"/>
      <c r="M10" s="3"/>
      <c r="N10" s="3"/>
      <c r="O10" s="3"/>
      <c r="P10" s="3"/>
      <c r="Q10" s="3"/>
      <c r="R10" s="112"/>
      <c r="S10" s="112"/>
      <c r="T10" s="112"/>
      <c r="U10" s="112"/>
      <c r="V10" s="112"/>
      <c r="W10" s="112"/>
      <c r="X10" s="112"/>
      <c r="Y10" s="112"/>
      <c r="Z10" s="112"/>
      <c r="AA10" s="112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15" customHeight="1" x14ac:dyDescent="0.25">
      <c r="A11" s="113"/>
      <c r="B11" s="122"/>
      <c r="C11" s="56"/>
      <c r="D11" s="59"/>
      <c r="E11" s="130" t="str">
        <f>'Cuartos de Final'!J16</f>
        <v>CF3</v>
      </c>
      <c r="F11" s="131"/>
      <c r="G11" s="116"/>
      <c r="H11" s="95"/>
      <c r="I11" s="91"/>
      <c r="J11" s="91"/>
      <c r="K11" s="3"/>
      <c r="L11" s="3"/>
      <c r="M11" s="3"/>
      <c r="N11" s="3"/>
      <c r="O11" s="3"/>
      <c r="P11" s="3"/>
      <c r="Q11" s="3"/>
      <c r="R11" s="112"/>
      <c r="S11" s="112"/>
      <c r="T11" s="112"/>
      <c r="U11" s="112"/>
      <c r="V11" s="112"/>
      <c r="W11" s="112"/>
      <c r="X11" s="112"/>
      <c r="Y11" s="112"/>
      <c r="Z11" s="112"/>
      <c r="AA11" s="112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5" customHeight="1" x14ac:dyDescent="0.25">
      <c r="A12" s="132" t="str">
        <f ca="1">IF(OR(E12="en juego",E12="hoy!",E12="finalizado"),"  -&gt;     2","2")</f>
        <v>2</v>
      </c>
      <c r="B12" s="118" t="str">
        <f>VLOOKUP($F12,Config!$D$1:$M$65,4,FALSE)</f>
        <v>São Paulo</v>
      </c>
      <c r="C12" s="133">
        <f>VLOOKUP($F12,Config!$D$1:$M$65,9,FALSE)</f>
        <v>41829</v>
      </c>
      <c r="D12" s="134">
        <f>VLOOKUP($F12,Config!$D$1:$M$65,10,FALSE)</f>
        <v>41829.645833333336</v>
      </c>
      <c r="E12" s="100" t="str">
        <f ca="1">IF(OR(C12="",D12=""),"",IF(C12&gt;$L$4,"faltan " &amp; C12-$L$4 &amp; " días",IF(($L$4+$M$4)&gt;(D12+(2/24)),"finalizado",IF(($L$4+$M$4)&lt;D12,"hoy!","en juego"))))</f>
        <v>faltan 27 días</v>
      </c>
      <c r="F12" s="101">
        <v>62</v>
      </c>
      <c r="G12" s="102"/>
      <c r="H12" s="103"/>
      <c r="I12" s="104"/>
      <c r="J12" s="135" t="str">
        <f>IF(AND(E11&lt;&gt;"",E13&lt;&gt;""),IF(OR(F11="",F13="",AND(F11=F13,OR(G11="",G13=""))),"SF2",IF(F11=F13,IF(G11&gt;G13,E11,E13),IF(F11&gt;F13,E11,E13))),"")</f>
        <v>SF2</v>
      </c>
      <c r="K12" s="3"/>
      <c r="L12" s="3"/>
      <c r="M12" s="3"/>
      <c r="N12" s="3"/>
      <c r="O12" s="3"/>
      <c r="P12" s="3"/>
      <c r="Q12" s="3"/>
      <c r="R12" s="112"/>
      <c r="S12" s="112"/>
      <c r="T12" s="112"/>
      <c r="U12" s="112"/>
      <c r="V12" s="112"/>
      <c r="W12" s="112"/>
      <c r="X12" s="112"/>
      <c r="Y12" s="112"/>
      <c r="Z12" s="112"/>
      <c r="AA12" s="112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5" customHeight="1" x14ac:dyDescent="0.25">
      <c r="A13" s="113"/>
      <c r="B13" s="59"/>
      <c r="C13" s="56"/>
      <c r="D13" s="59"/>
      <c r="E13" s="130" t="str">
        <f>'Cuartos de Final'!J20</f>
        <v>CF4</v>
      </c>
      <c r="F13" s="131"/>
      <c r="G13" s="123"/>
      <c r="H13" s="108"/>
      <c r="I13" s="91"/>
      <c r="J13" s="91"/>
      <c r="K13" s="3"/>
      <c r="L13" s="3"/>
      <c r="M13" s="3"/>
      <c r="N13" s="3"/>
      <c r="O13" s="3"/>
      <c r="P13" s="3"/>
      <c r="Q13" s="3"/>
      <c r="R13" s="112"/>
      <c r="S13" s="112"/>
      <c r="T13" s="112"/>
      <c r="U13" s="112"/>
      <c r="V13" s="112"/>
      <c r="W13" s="112"/>
      <c r="X13" s="112"/>
      <c r="Y13" s="112"/>
      <c r="Z13" s="112"/>
      <c r="AA13" s="112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" customHeight="1" x14ac:dyDescent="0.25">
      <c r="A14" s="90"/>
      <c r="B14" s="91"/>
      <c r="C14" s="91"/>
      <c r="D14" s="91"/>
      <c r="E14" s="91"/>
      <c r="F14" s="91"/>
      <c r="G14" s="91"/>
      <c r="H14" s="91"/>
      <c r="I14" s="91"/>
      <c r="J14" s="91"/>
      <c r="K14" s="3"/>
      <c r="L14" s="3"/>
      <c r="M14" s="3"/>
      <c r="N14" s="3"/>
      <c r="O14" s="3"/>
      <c r="P14" s="3"/>
      <c r="Q14" s="3"/>
      <c r="R14" s="112"/>
      <c r="S14" s="112"/>
      <c r="T14" s="112"/>
      <c r="U14" s="112"/>
      <c r="V14" s="112"/>
      <c r="W14" s="112"/>
      <c r="X14" s="112"/>
      <c r="Y14" s="112"/>
      <c r="Z14" s="112"/>
      <c r="AA14" s="112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4.1" customHeight="1" x14ac:dyDescent="0.25">
      <c r="A15" s="90"/>
      <c r="B15" s="91"/>
      <c r="C15" s="91"/>
      <c r="D15" s="91"/>
      <c r="E15" s="91"/>
      <c r="F15" s="91"/>
      <c r="G15" s="91"/>
      <c r="H15" s="91"/>
      <c r="I15" s="91"/>
      <c r="J15" s="91"/>
      <c r="K15" s="3"/>
      <c r="L15" s="3"/>
      <c r="M15" s="3"/>
      <c r="N15" s="3"/>
      <c r="O15" s="3"/>
      <c r="P15" s="3"/>
      <c r="Q15" s="3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4.1" customHeight="1" x14ac:dyDescent="0.25">
      <c r="A16" s="11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112"/>
      <c r="S16" s="112"/>
      <c r="T16" s="112"/>
      <c r="U16" s="112"/>
      <c r="V16" s="112"/>
      <c r="W16" s="112"/>
      <c r="X16" s="112"/>
      <c r="Y16" s="112"/>
      <c r="Z16" s="112"/>
      <c r="AA16" s="112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4.1" customHeigh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112"/>
      <c r="S17" s="112"/>
      <c r="T17" s="112"/>
      <c r="U17" s="112"/>
      <c r="V17" s="112"/>
      <c r="W17" s="112"/>
      <c r="X17" s="112"/>
      <c r="Y17" s="112"/>
      <c r="Z17" s="112"/>
      <c r="AA17" s="112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112"/>
      <c r="S18" s="112"/>
      <c r="T18" s="112"/>
      <c r="U18" s="112"/>
      <c r="V18" s="112"/>
      <c r="W18" s="112"/>
      <c r="X18" s="112"/>
      <c r="Y18" s="112"/>
      <c r="Z18" s="112"/>
      <c r="AA18" s="112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idden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136">
        <f ca="1">HOUR(M4)</f>
        <v>17</v>
      </c>
      <c r="S23" s="136">
        <f ca="1">MINUTE(M4)</f>
        <v>54</v>
      </c>
      <c r="T23" s="112"/>
      <c r="U23" s="112"/>
      <c r="V23" s="112"/>
      <c r="W23" s="112"/>
      <c r="X23" s="112"/>
      <c r="Y23" s="112"/>
      <c r="Z23" s="112"/>
      <c r="AA23" s="112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idden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136"/>
      <c r="S24" s="137">
        <f ca="1">TIME(R23,S23,0)</f>
        <v>0.74583333333333324</v>
      </c>
      <c r="T24" s="112"/>
      <c r="U24" s="112"/>
      <c r="V24" s="112"/>
      <c r="W24" s="112"/>
      <c r="X24" s="112"/>
      <c r="Y24" s="112"/>
      <c r="Z24" s="112"/>
      <c r="AA24" s="112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5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112"/>
      <c r="S25" s="112"/>
      <c r="T25" s="112"/>
      <c r="U25" s="112"/>
      <c r="V25" s="112"/>
      <c r="W25" s="112"/>
      <c r="X25" s="112"/>
      <c r="Y25" s="112"/>
      <c r="Z25" s="112"/>
      <c r="AA25" s="112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2.9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112"/>
      <c r="S26" s="112"/>
      <c r="T26" s="112"/>
      <c r="U26" s="112"/>
      <c r="V26" s="112"/>
      <c r="W26" s="112"/>
      <c r="X26" s="112"/>
      <c r="Y26" s="112"/>
      <c r="Z26" s="112"/>
      <c r="AA26" s="112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12.9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112"/>
      <c r="S27" s="112"/>
      <c r="T27" s="112"/>
      <c r="U27" s="112"/>
      <c r="V27" s="112"/>
      <c r="W27" s="112"/>
      <c r="X27" s="112"/>
      <c r="Y27" s="112"/>
      <c r="Z27" s="112"/>
      <c r="AA27" s="112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12.95" customHeigh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2.95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112"/>
      <c r="S29" s="112"/>
      <c r="T29" s="112"/>
      <c r="U29" s="112"/>
      <c r="V29" s="112"/>
      <c r="W29" s="112"/>
      <c r="X29" s="112"/>
      <c r="Y29" s="112"/>
      <c r="Z29" s="112"/>
      <c r="AA29" s="112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112"/>
      <c r="S31" s="112"/>
      <c r="T31" s="112"/>
      <c r="U31" s="112"/>
      <c r="V31" s="112"/>
      <c r="W31" s="112"/>
      <c r="X31" s="112"/>
      <c r="Y31" s="112"/>
      <c r="Z31" s="112"/>
      <c r="AA31" s="112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112"/>
      <c r="S32" s="112"/>
      <c r="T32" s="112"/>
      <c r="U32" s="112"/>
      <c r="V32" s="112"/>
      <c r="W32" s="112"/>
      <c r="X32" s="112"/>
      <c r="Y32" s="112"/>
      <c r="Z32" s="112"/>
      <c r="AA32" s="112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112"/>
      <c r="S33" s="112"/>
      <c r="T33" s="112"/>
      <c r="U33" s="112"/>
      <c r="V33" s="112"/>
      <c r="W33" s="112"/>
      <c r="X33" s="112"/>
      <c r="Y33" s="112"/>
      <c r="Z33" s="112"/>
      <c r="AA33" s="112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8 D12" name="Rango1"/>
  </protectedRanges>
  <mergeCells count="4">
    <mergeCell ref="B5:D5"/>
    <mergeCell ref="E5:F5"/>
    <mergeCell ref="G5:H5"/>
    <mergeCell ref="A1:N1"/>
  </mergeCells>
  <phoneticPr fontId="108" type="noConversion"/>
  <conditionalFormatting sqref="G7 G9">
    <cfRule type="expression" dxfId="246" priority="3" stopIfTrue="1">
      <formula>IF(AND($F$7=$F$9,$F$7&lt;&gt;"",$F$9&lt;&gt;""),1,0)</formula>
    </cfRule>
  </conditionalFormatting>
  <conditionalFormatting sqref="G11 G13">
    <cfRule type="expression" dxfId="245" priority="2" stopIfTrue="1">
      <formula>IF(AND($F$11=$F$13,$F$11&lt;&gt;"",$F$13&lt;&gt;""),1,0)</formula>
    </cfRule>
  </conditionalFormatting>
  <conditionalFormatting sqref="A8:D12">
    <cfRule type="expression" dxfId="244" priority="1" stopIfTrue="1">
      <formula>IF(OR($E8="en juego",$E8="hoy!"),1,0)</formula>
    </cfRule>
  </conditionalFormatting>
  <dataValidations count="3">
    <dataValidation type="custom" showErrorMessage="1" errorTitle="Dato no válido" error="Debe introducir antes el resultado del partido." sqref="G7 G9 G11 G13">
      <formula1>IF(F7&lt;&gt;"",1,0)</formula1>
    </dataValidation>
    <dataValidation type="whole" allowBlank="1" showInputMessage="1" showErrorMessage="1" errorTitle="Dato no válido" error="Ingrese sólo un número entero_x000a_entre 0 y 99." sqref="F9 F13">
      <formula1>0</formula1>
      <formula2>99</formula2>
    </dataValidation>
    <dataValidation type="whole" allowBlank="1" showInputMessage="1" showErrorMessage="1" errorTitle="Dato no válido." error="Ingrese sólo un número entero_x000a_entre 0 y 99." sqref="F7 F11">
      <formula1>0</formula1>
      <formula2>99</formula2>
    </dataValidation>
  </dataValidations>
  <hyperlinks>
    <hyperlink ref="O4" location="Semifinal!A1" tooltip="Menu Principal" display="Menu Principal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AO56"/>
  <sheetViews>
    <sheetView showGridLines="0" showRowColHeaders="0" workbookViewId="0">
      <selection sqref="A1:N1"/>
    </sheetView>
  </sheetViews>
  <sheetFormatPr defaultColWidth="11.42578125" defaultRowHeight="15" x14ac:dyDescent="0.25"/>
  <cols>
    <col min="1" max="1" width="1.7109375" customWidth="1"/>
    <col min="2" max="2" width="14.7109375" customWidth="1"/>
    <col min="3" max="4" width="6.7109375" customWidth="1"/>
    <col min="5" max="5" width="25.7109375" customWidth="1"/>
    <col min="6" max="6" width="3.7109375" customWidth="1"/>
    <col min="7" max="7" width="1.7109375" customWidth="1"/>
    <col min="8" max="8" width="6.7109375" customWidth="1"/>
    <col min="9" max="9" width="11.7109375" customWidth="1"/>
    <col min="10" max="10" width="27.5703125" customWidth="1"/>
    <col min="11" max="11" width="3.7109375" customWidth="1"/>
    <col min="12" max="12" width="7.7109375" customWidth="1"/>
    <col min="13" max="13" width="14.7109375" customWidth="1"/>
    <col min="14" max="14" width="1.7109375" customWidth="1"/>
    <col min="15" max="15" width="11.7109375" customWidth="1"/>
    <col min="16" max="16" width="6.7109375" customWidth="1"/>
    <col min="17" max="17" width="4.7109375" customWidth="1"/>
    <col min="18" max="56" width="11.7109375" customWidth="1"/>
  </cols>
  <sheetData>
    <row r="1" spans="1:41" ht="50.25" customHeight="1" x14ac:dyDescent="0.25">
      <c r="A1" s="556" t="s">
        <v>551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</row>
    <row r="2" spans="1:41" ht="24.7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14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</row>
    <row r="3" spans="1:41" ht="12" customHeight="1" x14ac:dyDescent="0.25">
      <c r="A3" s="138"/>
      <c r="B3" s="3"/>
      <c r="C3" s="31"/>
      <c r="D3" s="3"/>
      <c r="E3" s="58"/>
      <c r="F3" s="58"/>
      <c r="G3" s="3"/>
      <c r="H3" s="3"/>
      <c r="I3" s="3"/>
      <c r="J3" s="3"/>
      <c r="K3" s="3"/>
      <c r="L3" s="81"/>
      <c r="M3" s="82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9.9499999999999993" customHeight="1" x14ac:dyDescent="0.25">
      <c r="A4" s="138"/>
      <c r="B4" s="3"/>
      <c r="C4" s="31"/>
      <c r="D4" s="3"/>
      <c r="E4" s="58"/>
      <c r="F4" s="58"/>
      <c r="G4" s="3"/>
      <c r="H4" s="3"/>
      <c r="I4" s="3"/>
      <c r="J4" s="3"/>
      <c r="K4" s="3"/>
      <c r="L4" s="126">
        <f ca="1">TODAY()</f>
        <v>41802</v>
      </c>
      <c r="M4" s="139">
        <f ca="1">NOW()</f>
        <v>41802.746032291667</v>
      </c>
      <c r="N4" s="3"/>
      <c r="O4" s="86" t="s">
        <v>41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4.1" customHeight="1" x14ac:dyDescent="0.25">
      <c r="A5" s="138"/>
      <c r="B5" s="140"/>
      <c r="C5" s="141" t="s">
        <v>84</v>
      </c>
      <c r="D5" s="3"/>
      <c r="E5" s="83"/>
      <c r="F5" s="83"/>
      <c r="G5" s="3"/>
      <c r="H5" s="3"/>
      <c r="I5" s="3"/>
      <c r="J5" s="3"/>
      <c r="K5" s="3"/>
      <c r="L5" s="142"/>
      <c r="M5" s="139"/>
      <c r="N5" s="3"/>
      <c r="O5" s="3"/>
      <c r="P5" s="3"/>
      <c r="Q5" s="3"/>
      <c r="R5" s="3"/>
      <c r="S5" s="3"/>
      <c r="T5" s="3"/>
      <c r="U5" s="3"/>
      <c r="V5" s="3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</row>
    <row r="6" spans="1:41" ht="12" customHeight="1" x14ac:dyDescent="0.25">
      <c r="A6" s="138"/>
      <c r="B6" s="570" t="s">
        <v>78</v>
      </c>
      <c r="C6" s="570"/>
      <c r="D6" s="570"/>
      <c r="E6" s="576" t="s">
        <v>79</v>
      </c>
      <c r="F6" s="576"/>
      <c r="G6" s="577" t="s">
        <v>80</v>
      </c>
      <c r="H6" s="577"/>
      <c r="I6" s="143"/>
      <c r="J6" s="87" t="s">
        <v>84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2.75" customHeight="1" x14ac:dyDescent="0.25">
      <c r="A7" s="144"/>
      <c r="B7" s="59"/>
      <c r="C7" s="59"/>
      <c r="D7" s="59"/>
      <c r="E7" s="91"/>
      <c r="F7" s="91"/>
      <c r="G7" s="91"/>
      <c r="H7" s="91"/>
      <c r="I7" s="91"/>
      <c r="J7" s="91"/>
      <c r="K7" s="3"/>
      <c r="L7" s="3"/>
      <c r="M7" s="3"/>
      <c r="N7" s="3"/>
      <c r="O7" s="572" t="s">
        <v>15</v>
      </c>
      <c r="P7" s="572"/>
      <c r="Q7" s="572"/>
      <c r="R7" s="86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1:41" ht="14.1" customHeight="1" x14ac:dyDescent="0.25">
      <c r="A8" s="144"/>
      <c r="B8" s="59"/>
      <c r="C8" s="56"/>
      <c r="D8" s="59"/>
      <c r="E8" s="114" t="str">
        <f>IF(Semifinal!J8="SF1","SF1-2",IF(Semifinal!J8=Semifinal!E7,Semifinal!E9,Semifinal!E7))</f>
        <v>SF1-2</v>
      </c>
      <c r="F8" s="115"/>
      <c r="G8" s="94"/>
      <c r="H8" s="95"/>
      <c r="I8" s="91"/>
      <c r="J8" s="91"/>
      <c r="K8" s="3"/>
      <c r="L8" s="3"/>
      <c r="M8" s="3"/>
      <c r="N8" s="3"/>
      <c r="O8" s="572" t="s">
        <v>16</v>
      </c>
      <c r="P8" s="572"/>
      <c r="Q8" s="57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1:41" ht="14.1" customHeight="1" x14ac:dyDescent="0.25">
      <c r="A9" s="145" t="str">
        <f ca="1">IF(OR(E9="en juego",E9="hoy!",E9="finalizado"),"Ø","")</f>
        <v/>
      </c>
      <c r="B9" s="117" t="str">
        <f>VLOOKUP($F9,Config!$D$1:$M$65,4,FALSE)</f>
        <v>Brasilia</v>
      </c>
      <c r="C9" s="119">
        <f>VLOOKUP($F9,Config!$D$1:$M$65,9,FALSE)</f>
        <v>41832</v>
      </c>
      <c r="D9" s="120">
        <f>VLOOKUP($F9,Config!$D$1:$M$65,10,FALSE)</f>
        <v>41832.645833333336</v>
      </c>
      <c r="E9" s="100" t="str">
        <f ca="1">IF(OR(C9="",D9=""),"",IF(C9&gt;$L$4,"faltan " &amp; C9-$L$4 &amp; " días",IF(($L$4+$M$4)&gt;(D9+(2/24)),"finalizado",IF(($L$4+$M$4)&lt;D9,"hoy!","en juego"))))</f>
        <v>faltan 30 días</v>
      </c>
      <c r="F9" s="101">
        <v>63</v>
      </c>
      <c r="G9" s="102"/>
      <c r="H9" s="103"/>
      <c r="I9" s="146"/>
      <c r="J9" s="147" t="str">
        <f>IF(AND(E8&lt;&gt;"",E10&lt;&gt;""),IF(OR(F8="",F10="",AND(F8=F10,OR(G8="",G10=""))),"3ª posición",IF(F8=F10,IF(G8&gt;G10,E8,E10),IF(F8&gt;F10,E8,E10))),"")</f>
        <v>3ª posición</v>
      </c>
      <c r="K9" s="3"/>
      <c r="L9" s="3"/>
      <c r="M9" s="56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1:41" ht="14.1" customHeight="1" x14ac:dyDescent="0.25">
      <c r="A10" s="144"/>
      <c r="B10" s="59"/>
      <c r="C10" s="56"/>
      <c r="D10" s="59"/>
      <c r="E10" s="114" t="str">
        <f>IF(Semifinal!J12="SF2","SF2-2",IF(Semifinal!J12=Semifinal!E11,Semifinal!E13,Semifinal!E11))</f>
        <v>SF2-2</v>
      </c>
      <c r="F10" s="115"/>
      <c r="G10" s="107"/>
      <c r="H10" s="108"/>
      <c r="I10" s="91"/>
      <c r="J10" s="91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1:41" ht="24.95" customHeight="1" x14ac:dyDescent="0.25">
      <c r="A11" s="144"/>
      <c r="B11" s="59"/>
      <c r="C11" s="59"/>
      <c r="D11" s="59"/>
      <c r="E11" s="148"/>
      <c r="F11" s="149"/>
      <c r="G11" s="150"/>
      <c r="H11" s="104"/>
      <c r="I11" s="91"/>
      <c r="J11" s="9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1:41" ht="15" customHeight="1" x14ac:dyDescent="0.25">
      <c r="A12" s="151"/>
      <c r="B12" s="152" t="s">
        <v>85</v>
      </c>
      <c r="C12" s="83"/>
      <c r="D12" s="3"/>
      <c r="E12" s="153"/>
      <c r="F12" s="153"/>
      <c r="G12" s="59"/>
      <c r="H12" s="59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1:41" ht="15" customHeight="1" x14ac:dyDescent="0.25">
      <c r="A13" s="154"/>
      <c r="B13" s="574" t="s">
        <v>78</v>
      </c>
      <c r="C13" s="574"/>
      <c r="D13" s="574"/>
      <c r="E13" s="574" t="s">
        <v>79</v>
      </c>
      <c r="F13" s="574"/>
      <c r="G13" s="575" t="s">
        <v>80</v>
      </c>
      <c r="H13" s="575"/>
      <c r="I13" s="154"/>
      <c r="J13" s="155" t="s">
        <v>86</v>
      </c>
      <c r="K13" s="154"/>
      <c r="L13" s="154"/>
      <c r="M13" s="154"/>
      <c r="N13" s="154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1:41" ht="15.95" customHeight="1" x14ac:dyDescent="0.25">
      <c r="A14" s="113"/>
      <c r="B14" s="59"/>
      <c r="C14" s="59"/>
      <c r="D14" s="59"/>
      <c r="E14" s="91"/>
      <c r="F14" s="156"/>
      <c r="G14" s="91"/>
      <c r="H14" s="91"/>
      <c r="I14" s="56" t="str">
        <f>IF(ISERROR(VLOOKUP(J16,tblEquipos,1,FALSE)),"Sin Datos",VLOOKUP(J16,tblEquipos,1,FALSE))</f>
        <v>Sin Datos</v>
      </c>
      <c r="J14" s="91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5" spans="1:41" ht="18" customHeight="1" thickBot="1" x14ac:dyDescent="0.3">
      <c r="A15" s="113"/>
      <c r="B15" s="59"/>
      <c r="C15" s="56"/>
      <c r="D15" s="59"/>
      <c r="E15" s="157" t="str">
        <f>Semifinal!J8</f>
        <v>SF1</v>
      </c>
      <c r="F15" s="131"/>
      <c r="G15" s="158"/>
      <c r="H15" s="159"/>
      <c r="I15" s="91"/>
      <c r="J15" s="91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8" customHeight="1" thickBot="1" x14ac:dyDescent="0.3">
      <c r="A16" s="160" t="str">
        <f ca="1">IF(OR(E16="en juego",E16="hoy!",E16="finalizado"),"Ø","")</f>
        <v/>
      </c>
      <c r="B16" s="161" t="str">
        <f>VLOOKUP($F16,Config!$D$1:$M$65,4,FALSE)</f>
        <v>Río de Janeiro</v>
      </c>
      <c r="C16" s="162">
        <f>VLOOKUP($F16,Config!$D$1:$M$65,9,FALSE)</f>
        <v>41833</v>
      </c>
      <c r="D16" s="120">
        <f>VLOOKUP($F16,Config!$D$1:$M$65,10,FALSE)</f>
        <v>41833.604166666664</v>
      </c>
      <c r="E16" s="100" t="str">
        <f ca="1">IF(OR(C16="",D16=""),"",IF(C16&gt;$L$4,"faltan " &amp; C16-$L$4 &amp; " días",IF(($L$4+$M$4)&gt;(D16+(2/24)),"finalizado",IF(($L$4+$M$4)&lt;D16,"hoy!","en juego"))))</f>
        <v>faltan 31 días</v>
      </c>
      <c r="F16" s="101">
        <v>64</v>
      </c>
      <c r="G16" s="102"/>
      <c r="H16" s="103"/>
      <c r="I16" s="104"/>
      <c r="J16" s="578" t="str">
        <f>IF(AND(E15&lt;&gt;"",E17&lt;&gt;""),IF(OR(F15="",F17="",AND(F15=F17,OR(G15="",G17=""))),"CAMPEÓN",IF(F15=F17,IF(G15&gt;G17,E15,E17),IF(F15&gt;F17,E15,E17))),"")</f>
        <v>CAMPEÓN</v>
      </c>
      <c r="K16" s="579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8" customHeight="1" x14ac:dyDescent="0.25">
      <c r="A17" s="113"/>
      <c r="B17" s="59"/>
      <c r="C17" s="56"/>
      <c r="D17" s="59"/>
      <c r="E17" s="157" t="str">
        <f>Semifinal!J12</f>
        <v>SF2</v>
      </c>
      <c r="F17" s="131"/>
      <c r="G17" s="158"/>
      <c r="H17" s="159"/>
      <c r="I17" s="573" t="str">
        <f>IF(OR(J16="CAMPEÓN",J16=""),"","CAMPEONES DEL MUNDO 2014")</f>
        <v/>
      </c>
      <c r="J17" s="573"/>
      <c r="K17" s="573"/>
      <c r="L17" s="57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5" customHeight="1" x14ac:dyDescent="0.25">
      <c r="A18" s="90"/>
      <c r="B18" s="91"/>
      <c r="C18" s="91"/>
      <c r="D18" s="91"/>
      <c r="E18" s="91"/>
      <c r="F18" s="91"/>
      <c r="G18" s="91"/>
      <c r="H18" s="91"/>
      <c r="I18" s="91"/>
      <c r="J18" s="91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4.1" customHeight="1" x14ac:dyDescent="0.25">
      <c r="A19" s="90"/>
      <c r="B19" s="91"/>
      <c r="C19" s="91"/>
      <c r="D19" s="91"/>
      <c r="E19" s="91"/>
      <c r="F19" s="91"/>
      <c r="G19" s="91"/>
      <c r="H19" s="91"/>
      <c r="I19" s="91"/>
      <c r="J19" s="91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4.1" customHeight="1" x14ac:dyDescent="0.25">
      <c r="A20" s="11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4.1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5" customHeigh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4.1" customHeigh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14.1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14.1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1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idden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71">
        <f ca="1">HOUR(M4)</f>
        <v>17</v>
      </c>
      <c r="S27" s="71">
        <f ca="1">MINUTE(M4)</f>
        <v>54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idden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71"/>
      <c r="S28" s="73">
        <f ca="1">TIME(R27,S27,0)</f>
        <v>0.74583333333333324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15" customHeigh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12.9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12.9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12.9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12.9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12.95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12.9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12.9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12.9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2.9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2.9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2.9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2.9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2.9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2.9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2.9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12.9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2.9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12.9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12.9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</row>
    <row r="49" spans="1:41" ht="12.9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</row>
    <row r="50" spans="1:41" ht="12.9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</row>
    <row r="51" spans="1:41" ht="12.9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</row>
    <row r="52" spans="1:41" ht="12.9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</row>
    <row r="53" spans="1:41" ht="12.9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</row>
    <row r="54" spans="1:41" ht="12.9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</row>
    <row r="55" spans="1:41" ht="12.9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</row>
    <row r="56" spans="1:41" ht="12.9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</row>
  </sheetData>
  <sheetProtection sheet="1" objects="1" scenarios="1"/>
  <protectedRanges>
    <protectedRange sqref="D9 D16" name="Rango1"/>
  </protectedRanges>
  <mergeCells count="11">
    <mergeCell ref="O7:Q7"/>
    <mergeCell ref="O8:Q8"/>
    <mergeCell ref="A1:N1"/>
    <mergeCell ref="I17:L17"/>
    <mergeCell ref="B13:D13"/>
    <mergeCell ref="E13:F13"/>
    <mergeCell ref="G13:H13"/>
    <mergeCell ref="B6:D6"/>
    <mergeCell ref="E6:F6"/>
    <mergeCell ref="G6:H6"/>
    <mergeCell ref="J16:K16"/>
  </mergeCells>
  <phoneticPr fontId="108" type="noConversion"/>
  <conditionalFormatting sqref="G8 G10">
    <cfRule type="expression" dxfId="243" priority="5" stopIfTrue="1">
      <formula>IF(AND($F$8=$F$10,$F$8&lt;&gt;"",$F$10&lt;&gt;""),1,0)</formula>
    </cfRule>
  </conditionalFormatting>
  <conditionalFormatting sqref="G15 G17">
    <cfRule type="expression" dxfId="242" priority="4" stopIfTrue="1">
      <formula>IF(AND($F$15=$F$17,$F$15&lt;&gt;"",$F$17&lt;&gt;""),1,0)</formula>
    </cfRule>
  </conditionalFormatting>
  <conditionalFormatting sqref="J16:K16">
    <cfRule type="cellIs" dxfId="241" priority="3" stopIfTrue="1" operator="notEqual">
      <formula>"CAMPEON"</formula>
    </cfRule>
  </conditionalFormatting>
  <conditionalFormatting sqref="A9:D9">
    <cfRule type="expression" dxfId="240" priority="2" stopIfTrue="1">
      <formula>IF(OR($E$9="en juego",$E$9="hoy!"),1,0)</formula>
    </cfRule>
  </conditionalFormatting>
  <conditionalFormatting sqref="B16:D16">
    <cfRule type="expression" dxfId="239" priority="1" stopIfTrue="1">
      <formula>IF(OR($E$16="en juego",$E$16="hoy!"),1,0)</formula>
    </cfRule>
  </conditionalFormatting>
  <dataValidations count="4">
    <dataValidation type="custom" showErrorMessage="1" errorTitle="Dato no válido" error="Debe introducir antes el resultado del partido." sqref="G8 G10 G15 G17">
      <formula1>IF(F8&lt;&gt;"",1,0)</formula1>
    </dataValidation>
    <dataValidation allowBlank="1" showInputMessage="1" showErrorMessage="1" errorTitle="Entrada no válida." error="El resultado del partido debe ser empate." sqref="G11"/>
    <dataValidation type="whole" allowBlank="1" showInputMessage="1" showErrorMessage="1" errorTitle="Dato no válido" error="Ingrese sólo un número entero_x000a_entre 0 y 99." sqref="F17 F10:F11">
      <formula1>0</formula1>
      <formula2>99</formula2>
    </dataValidation>
    <dataValidation type="whole" allowBlank="1" showInputMessage="1" showErrorMessage="1" errorTitle="Dato no válido." error="Ingrese sólo un número entero_x000a_entre 0 y 99." sqref="F8 F15">
      <formula1>0</formula1>
      <formula2>99</formula2>
    </dataValidation>
  </dataValidations>
  <hyperlinks>
    <hyperlink ref="O4" location="'3er puesto y FINAL'!A1" tooltip="Menu Principal" display="Menu Principal"/>
    <hyperlink ref="O7:Q7" location="Menu!A1" tooltip="Fixture (Para Imprimir)" display="Fixture ( para imprimir )"/>
    <hyperlink ref="O7:R7" location="'3er puesto y FINAL'!A1" tooltip="Fixture (Para Imprimir)" display="Fixture ( para imprimir )"/>
    <hyperlink ref="O8:Q8" location="'3er puesto y FINAL'!A1" tooltip="Ver Quiniela" display="Ver Quiniela"/>
  </hyperlinks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F120"/>
  <sheetViews>
    <sheetView showGridLines="0" showRowColHeaders="0" zoomScaleNormal="100" workbookViewId="0"/>
  </sheetViews>
  <sheetFormatPr defaultColWidth="11.42578125" defaultRowHeight="15" x14ac:dyDescent="0.25"/>
  <cols>
    <col min="1" max="1" width="1.7109375" customWidth="1"/>
    <col min="2" max="2" width="9.7109375" customWidth="1"/>
    <col min="3" max="3" width="2.7109375" customWidth="1"/>
    <col min="4" max="4" width="1.7109375" customWidth="1"/>
    <col min="5" max="5" width="2.7109375" customWidth="1"/>
    <col min="6" max="6" width="9.7109375" customWidth="1"/>
    <col min="7" max="8" width="2.7109375" customWidth="1"/>
    <col min="9" max="9" width="14.7109375" customWidth="1"/>
    <col min="10" max="10" width="2.7109375" customWidth="1"/>
    <col min="11" max="11" width="1.7109375" customWidth="1"/>
    <col min="12" max="12" width="2.7109375" customWidth="1"/>
    <col min="13" max="13" width="14.7109375" customWidth="1"/>
    <col min="14" max="15" width="2.7109375" customWidth="1"/>
    <col min="16" max="16" width="11.7109375" customWidth="1"/>
    <col min="17" max="17" width="2.7109375" customWidth="1"/>
    <col min="18" max="18" width="1.7109375" customWidth="1"/>
    <col min="19" max="19" width="2.7109375" customWidth="1"/>
    <col min="20" max="20" width="10.7109375" customWidth="1"/>
    <col min="21" max="22" width="2.7109375" customWidth="1"/>
    <col min="23" max="23" width="14.7109375" customWidth="1"/>
    <col min="24" max="24" width="2.7109375" customWidth="1"/>
    <col min="25" max="25" width="1.7109375" customWidth="1"/>
    <col min="26" max="26" width="2.7109375" customWidth="1"/>
    <col min="27" max="27" width="14.7109375" customWidth="1"/>
    <col min="28" max="28" width="1.7109375" customWidth="1"/>
    <col min="29" max="29" width="9.7109375" customWidth="1"/>
    <col min="30" max="30" width="6.7109375" customWidth="1"/>
    <col min="31" max="56" width="11.7109375" customWidth="1"/>
  </cols>
  <sheetData>
    <row r="1" spans="1:32" ht="5.0999999999999996" customHeight="1" x14ac:dyDescent="0.25">
      <c r="A1" s="347"/>
      <c r="B1" s="347"/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  <c r="R1" s="347"/>
      <c r="S1" s="347"/>
      <c r="T1" s="347"/>
      <c r="U1" s="347"/>
      <c r="V1" s="347"/>
      <c r="W1" s="347"/>
      <c r="X1" s="347"/>
      <c r="Y1" s="347"/>
      <c r="Z1" s="347"/>
      <c r="AA1" s="347"/>
      <c r="AB1" s="347"/>
      <c r="AC1" s="347"/>
      <c r="AD1" s="347"/>
      <c r="AE1" s="347"/>
      <c r="AF1" s="347"/>
    </row>
    <row r="2" spans="1:32" ht="12.95" customHeight="1" x14ac:dyDescent="0.25">
      <c r="A2" s="347"/>
      <c r="B2" s="595" t="s">
        <v>536</v>
      </c>
      <c r="C2" s="596"/>
      <c r="D2" s="596"/>
      <c r="E2" s="596"/>
      <c r="F2" s="597"/>
      <c r="G2" s="347"/>
      <c r="H2" s="347"/>
      <c r="I2" s="595" t="s">
        <v>537</v>
      </c>
      <c r="J2" s="596"/>
      <c r="K2" s="596"/>
      <c r="L2" s="596"/>
      <c r="M2" s="597"/>
      <c r="N2" s="347"/>
      <c r="O2" s="347"/>
      <c r="P2" s="595" t="s">
        <v>538</v>
      </c>
      <c r="Q2" s="596"/>
      <c r="R2" s="596"/>
      <c r="S2" s="596"/>
      <c r="T2" s="597"/>
      <c r="U2" s="347"/>
      <c r="V2" s="347"/>
      <c r="W2" s="595" t="s">
        <v>539</v>
      </c>
      <c r="X2" s="596"/>
      <c r="Y2" s="596"/>
      <c r="Z2" s="596"/>
      <c r="AA2" s="597"/>
      <c r="AB2" s="347"/>
      <c r="AC2" s="347"/>
      <c r="AD2" s="347"/>
      <c r="AE2" s="347"/>
      <c r="AF2" s="347"/>
    </row>
    <row r="3" spans="1:32" ht="5.0999999999999996" customHeight="1" x14ac:dyDescent="0.25">
      <c r="A3" s="347"/>
      <c r="B3" s="347"/>
      <c r="C3" s="347"/>
      <c r="D3" s="347"/>
      <c r="E3" s="347"/>
      <c r="F3" s="347"/>
      <c r="G3" s="347"/>
      <c r="H3" s="347"/>
      <c r="I3" s="347"/>
      <c r="J3" s="347"/>
      <c r="K3" s="347"/>
      <c r="L3" s="347"/>
      <c r="M3" s="347"/>
      <c r="N3" s="347"/>
      <c r="O3" s="347"/>
      <c r="P3" s="347"/>
      <c r="Q3" s="347"/>
      <c r="R3" s="347"/>
      <c r="S3" s="347"/>
      <c r="T3" s="347"/>
      <c r="U3" s="347"/>
      <c r="V3" s="347"/>
      <c r="W3" s="347"/>
      <c r="X3" s="347"/>
      <c r="Y3" s="347"/>
      <c r="Z3" s="347"/>
      <c r="AA3" s="347"/>
      <c r="AB3" s="347"/>
      <c r="AC3" s="347"/>
      <c r="AD3" s="347"/>
      <c r="AE3" s="347"/>
      <c r="AF3" s="347"/>
    </row>
    <row r="4" spans="1:32" ht="12.95" customHeight="1" x14ac:dyDescent="0.25">
      <c r="A4" s="347"/>
      <c r="B4" s="348" t="str">
        <f>'- A -'!B6</f>
        <v>Brasil</v>
      </c>
      <c r="C4" s="349" t="str">
        <f>IF('- A -'!C6&lt;&gt;"",'- A -'!C6,"")</f>
        <v/>
      </c>
      <c r="D4" s="350"/>
      <c r="E4" s="349" t="str">
        <f>IF('- A -'!E6&lt;&gt;"",'- A -'!E6,"")</f>
        <v/>
      </c>
      <c r="F4" s="351" t="str">
        <f>'- A -'!F6</f>
        <v>Croacia</v>
      </c>
      <c r="G4" s="348"/>
      <c r="H4" s="348"/>
      <c r="I4" s="348" t="str">
        <f>'- B -'!B6</f>
        <v>España</v>
      </c>
      <c r="J4" s="349" t="str">
        <f>IF('- B -'!C6&lt;&gt;"",'- B -'!C6,"")</f>
        <v/>
      </c>
      <c r="K4" s="352"/>
      <c r="L4" s="349" t="str">
        <f>IF('- B -'!E6&lt;&gt;"",'- B -'!E6,"")</f>
        <v/>
      </c>
      <c r="M4" s="351" t="str">
        <f>'- B -'!F6</f>
        <v>Países Bajos</v>
      </c>
      <c r="N4" s="348"/>
      <c r="O4" s="348"/>
      <c r="P4" s="348" t="str">
        <f>'- C -'!B6</f>
        <v>Colombia</v>
      </c>
      <c r="Q4" s="349" t="str">
        <f>IF('- C -'!C6&lt;&gt;"",'- C -'!C6,"")</f>
        <v/>
      </c>
      <c r="R4" s="352"/>
      <c r="S4" s="349" t="str">
        <f>IF('- C -'!E6&lt;&gt;"",'- C -'!E6,"")</f>
        <v/>
      </c>
      <c r="T4" s="351" t="str">
        <f>'- C -'!F6</f>
        <v>Grecia</v>
      </c>
      <c r="U4" s="347"/>
      <c r="V4" s="347"/>
      <c r="W4" s="348" t="str">
        <f>'- D -'!B6</f>
        <v>Uruguay</v>
      </c>
      <c r="X4" s="349" t="str">
        <f>IF('- D -'!C6&lt;&gt;"",'- D -'!C6,"")</f>
        <v/>
      </c>
      <c r="Y4" s="352"/>
      <c r="Z4" s="349" t="str">
        <f>IF('- D -'!E6&lt;&gt;"",'- D -'!E6,"")</f>
        <v/>
      </c>
      <c r="AA4" s="351" t="str">
        <f>'- D -'!F6</f>
        <v>Costa Rica</v>
      </c>
      <c r="AB4" s="347"/>
      <c r="AC4" s="347"/>
      <c r="AD4" s="347"/>
      <c r="AE4" s="347"/>
      <c r="AF4" s="347"/>
    </row>
    <row r="5" spans="1:32" ht="5.0999999999999996" customHeight="1" x14ac:dyDescent="0.25">
      <c r="A5" s="347"/>
      <c r="B5" s="348"/>
      <c r="C5" s="350"/>
      <c r="D5" s="350"/>
      <c r="E5" s="350"/>
      <c r="F5" s="351"/>
      <c r="G5" s="348"/>
      <c r="H5" s="348"/>
      <c r="I5" s="347"/>
      <c r="J5" s="352"/>
      <c r="K5" s="352"/>
      <c r="L5" s="352"/>
      <c r="M5" s="347"/>
      <c r="N5" s="348"/>
      <c r="O5" s="348"/>
      <c r="P5" s="347"/>
      <c r="Q5" s="352"/>
      <c r="R5" s="352"/>
      <c r="S5" s="352"/>
      <c r="T5" s="347"/>
      <c r="U5" s="347"/>
      <c r="V5" s="347"/>
      <c r="W5" s="347"/>
      <c r="X5" s="352"/>
      <c r="Y5" s="352"/>
      <c r="Z5" s="352"/>
      <c r="AA5" s="347"/>
      <c r="AB5" s="347"/>
      <c r="AC5" s="347"/>
      <c r="AD5" s="347"/>
      <c r="AE5" s="347"/>
      <c r="AF5" s="347"/>
    </row>
    <row r="6" spans="1:32" ht="12.95" customHeight="1" x14ac:dyDescent="0.25">
      <c r="A6" s="347"/>
      <c r="B6" s="348" t="str">
        <f>'- A -'!B7</f>
        <v>México</v>
      </c>
      <c r="C6" s="349" t="str">
        <f>IF('- A -'!C7&lt;&gt;"",'- A -'!C7,"")</f>
        <v/>
      </c>
      <c r="D6" s="350"/>
      <c r="E6" s="349" t="str">
        <f>IF('- A -'!E7&lt;&gt;"",'- A -'!E7,"")</f>
        <v/>
      </c>
      <c r="F6" s="351" t="str">
        <f>'- A -'!F7</f>
        <v>Camerún</v>
      </c>
      <c r="G6" s="348"/>
      <c r="H6" s="348"/>
      <c r="I6" s="348" t="str">
        <f>'- B -'!B7</f>
        <v>Chile</v>
      </c>
      <c r="J6" s="349" t="str">
        <f>IF('- B -'!C7&lt;&gt;"",'- B -'!C7,"")</f>
        <v/>
      </c>
      <c r="K6" s="352"/>
      <c r="L6" s="349" t="str">
        <f>IF('- B -'!E7&lt;&gt;"",'- B -'!E7,"")</f>
        <v/>
      </c>
      <c r="M6" s="351" t="str">
        <f>'- B -'!F7</f>
        <v>Australia</v>
      </c>
      <c r="N6" s="348"/>
      <c r="O6" s="348"/>
      <c r="P6" s="348" t="str">
        <f>'- C -'!B7</f>
        <v>Costa de Marfil</v>
      </c>
      <c r="Q6" s="349" t="str">
        <f>IF('- C -'!C7&lt;&gt;"",'- C -'!C7,"")</f>
        <v/>
      </c>
      <c r="R6" s="352"/>
      <c r="S6" s="349" t="str">
        <f>IF('- C -'!E7&lt;&gt;"",'- C -'!E7,"")</f>
        <v/>
      </c>
      <c r="T6" s="351" t="str">
        <f>'- C -'!F7</f>
        <v>Japón</v>
      </c>
      <c r="U6" s="347"/>
      <c r="V6" s="347"/>
      <c r="W6" s="348" t="str">
        <f>'- D -'!B7</f>
        <v>Inglaterra</v>
      </c>
      <c r="X6" s="349" t="str">
        <f>IF('- D -'!C7&lt;&gt;"",'- D -'!C7,"")</f>
        <v/>
      </c>
      <c r="Y6" s="352"/>
      <c r="Z6" s="349" t="str">
        <f>IF('- D -'!E7&lt;&gt;"",'- D -'!E7,"")</f>
        <v/>
      </c>
      <c r="AA6" s="351" t="str">
        <f>'- D -'!F7</f>
        <v>Italia</v>
      </c>
      <c r="AB6" s="347"/>
      <c r="AC6" s="347"/>
      <c r="AD6" s="347"/>
      <c r="AE6" s="347"/>
      <c r="AF6" s="347"/>
    </row>
    <row r="7" spans="1:32" ht="5.0999999999999996" customHeight="1" x14ac:dyDescent="0.25">
      <c r="A7" s="347"/>
      <c r="B7" s="348"/>
      <c r="C7" s="350"/>
      <c r="D7" s="350"/>
      <c r="E7" s="350"/>
      <c r="F7" s="351"/>
      <c r="G7" s="348"/>
      <c r="H7" s="348"/>
      <c r="I7" s="347"/>
      <c r="J7" s="352"/>
      <c r="K7" s="352"/>
      <c r="L7" s="352"/>
      <c r="M7" s="347"/>
      <c r="N7" s="348"/>
      <c r="O7" s="348"/>
      <c r="P7" s="347"/>
      <c r="Q7" s="352"/>
      <c r="R7" s="352"/>
      <c r="S7" s="352"/>
      <c r="T7" s="347"/>
      <c r="U7" s="347"/>
      <c r="V7" s="347"/>
      <c r="W7" s="347"/>
      <c r="X7" s="352"/>
      <c r="Y7" s="352"/>
      <c r="Z7" s="352"/>
      <c r="AA7" s="347"/>
      <c r="AB7" s="347"/>
      <c r="AC7" s="347"/>
      <c r="AD7" s="347"/>
      <c r="AE7" s="347"/>
      <c r="AF7" s="347"/>
    </row>
    <row r="8" spans="1:32" ht="12.95" customHeight="1" x14ac:dyDescent="0.25">
      <c r="A8" s="347"/>
      <c r="B8" s="348" t="str">
        <f>'- A -'!B8</f>
        <v>Brasil</v>
      </c>
      <c r="C8" s="349" t="str">
        <f>IF('- A -'!C8&lt;&gt;"",'- A -'!C8,"")</f>
        <v/>
      </c>
      <c r="D8" s="350"/>
      <c r="E8" s="349" t="str">
        <f>IF('- A -'!E8&lt;&gt;"",'- A -'!E8,"")</f>
        <v/>
      </c>
      <c r="F8" s="351" t="str">
        <f>'- A -'!F8</f>
        <v>México</v>
      </c>
      <c r="G8" s="348"/>
      <c r="H8" s="348"/>
      <c r="I8" s="348" t="str">
        <f>'- B -'!B8</f>
        <v>Australia</v>
      </c>
      <c r="J8" s="349" t="str">
        <f>IF('- B -'!C8&lt;&gt;"",'- B -'!C8,"")</f>
        <v/>
      </c>
      <c r="K8" s="352"/>
      <c r="L8" s="349" t="str">
        <f>IF('- B -'!E8&lt;&gt;"",'- B -'!E8,"")</f>
        <v/>
      </c>
      <c r="M8" s="351" t="str">
        <f>'- B -'!F8</f>
        <v>Países Bajos</v>
      </c>
      <c r="N8" s="348"/>
      <c r="O8" s="348"/>
      <c r="P8" s="348" t="str">
        <f>'- C -'!B8</f>
        <v>Colombia</v>
      </c>
      <c r="Q8" s="349" t="str">
        <f>IF('- C -'!C8&lt;&gt;"",'- C -'!C8,"")</f>
        <v/>
      </c>
      <c r="R8" s="352"/>
      <c r="S8" s="349" t="str">
        <f>IF('- C -'!E8&lt;&gt;"",'- C -'!E8,"")</f>
        <v/>
      </c>
      <c r="T8" s="351" t="str">
        <f>'- C -'!F8</f>
        <v>Costa de Marfil</v>
      </c>
      <c r="U8" s="347"/>
      <c r="V8" s="347"/>
      <c r="W8" s="348" t="str">
        <f>'- D -'!B8</f>
        <v>Uruguay</v>
      </c>
      <c r="X8" s="349" t="str">
        <f>IF('- D -'!C8&lt;&gt;"",'- D -'!C8,"")</f>
        <v/>
      </c>
      <c r="Y8" s="352"/>
      <c r="Z8" s="349" t="str">
        <f>IF('- D -'!E8&lt;&gt;"",'- D -'!E8,"")</f>
        <v/>
      </c>
      <c r="AA8" s="351" t="str">
        <f>'- D -'!F8</f>
        <v>Inglaterra</v>
      </c>
      <c r="AB8" s="347"/>
      <c r="AC8" s="347"/>
      <c r="AD8" s="347"/>
      <c r="AE8" s="347"/>
      <c r="AF8" s="347"/>
    </row>
    <row r="9" spans="1:32" ht="5.0999999999999996" customHeight="1" x14ac:dyDescent="0.25">
      <c r="A9" s="347"/>
      <c r="B9" s="348"/>
      <c r="C9" s="350"/>
      <c r="D9" s="350"/>
      <c r="E9" s="350"/>
      <c r="F9" s="351"/>
      <c r="G9" s="348"/>
      <c r="H9" s="348"/>
      <c r="I9" s="347"/>
      <c r="J9" s="352"/>
      <c r="K9" s="352"/>
      <c r="L9" s="352"/>
      <c r="M9" s="347"/>
      <c r="N9" s="348"/>
      <c r="O9" s="348"/>
      <c r="P9" s="347"/>
      <c r="Q9" s="352"/>
      <c r="R9" s="352"/>
      <c r="S9" s="352"/>
      <c r="T9" s="347"/>
      <c r="U9" s="347"/>
      <c r="V9" s="347"/>
      <c r="W9" s="347"/>
      <c r="X9" s="352"/>
      <c r="Y9" s="352"/>
      <c r="Z9" s="352"/>
      <c r="AA9" s="347"/>
      <c r="AB9" s="347"/>
      <c r="AC9" s="347"/>
      <c r="AD9" s="347"/>
      <c r="AE9" s="347"/>
      <c r="AF9" s="347"/>
    </row>
    <row r="10" spans="1:32" ht="12.95" customHeight="1" x14ac:dyDescent="0.25">
      <c r="A10" s="347"/>
      <c r="B10" s="348" t="str">
        <f>'- A -'!B9</f>
        <v>Camerún</v>
      </c>
      <c r="C10" s="349" t="str">
        <f>IF('- A -'!C9&lt;&gt;"",'- A -'!C9,"")</f>
        <v/>
      </c>
      <c r="D10" s="350"/>
      <c r="E10" s="349" t="str">
        <f>IF('- A -'!E9&lt;&gt;"",'- A -'!E9,"")</f>
        <v/>
      </c>
      <c r="F10" s="351" t="str">
        <f>'- A -'!F9</f>
        <v>Croacia</v>
      </c>
      <c r="G10" s="348"/>
      <c r="H10" s="348"/>
      <c r="I10" s="348" t="str">
        <f>'- B -'!B9</f>
        <v>España</v>
      </c>
      <c r="J10" s="349" t="str">
        <f>IF('- B -'!C9&lt;&gt;"",'- B -'!C9,"")</f>
        <v/>
      </c>
      <c r="K10" s="352"/>
      <c r="L10" s="349" t="str">
        <f>IF('- B -'!E9&lt;&gt;"",'- B -'!E9,"")</f>
        <v/>
      </c>
      <c r="M10" s="351" t="str">
        <f>'- B -'!F9</f>
        <v>Chile</v>
      </c>
      <c r="N10" s="348"/>
      <c r="O10" s="348"/>
      <c r="P10" s="348" t="str">
        <f>'- C -'!B9</f>
        <v>Japón</v>
      </c>
      <c r="Q10" s="349" t="str">
        <f>IF('- C -'!C9&lt;&gt;"",'- C -'!C9,"")</f>
        <v/>
      </c>
      <c r="R10" s="352"/>
      <c r="S10" s="349" t="str">
        <f>IF('- C -'!E9&lt;&gt;"",'- C -'!E9,"")</f>
        <v/>
      </c>
      <c r="T10" s="351" t="str">
        <f>'- C -'!F9</f>
        <v>Grecia</v>
      </c>
      <c r="U10" s="347"/>
      <c r="V10" s="347"/>
      <c r="W10" s="348" t="str">
        <f>'- D -'!B9</f>
        <v>Italia</v>
      </c>
      <c r="X10" s="349" t="str">
        <f>IF('- D -'!C9&lt;&gt;"",'- D -'!C9,"")</f>
        <v/>
      </c>
      <c r="Y10" s="352"/>
      <c r="Z10" s="349" t="str">
        <f>IF('- D -'!E9&lt;&gt;"",'- D -'!E9,"")</f>
        <v/>
      </c>
      <c r="AA10" s="351" t="str">
        <f>'- D -'!F9</f>
        <v>Costa Rica</v>
      </c>
      <c r="AB10" s="347"/>
      <c r="AC10" s="347"/>
      <c r="AD10" s="347"/>
      <c r="AE10" s="347"/>
      <c r="AF10" s="347"/>
    </row>
    <row r="11" spans="1:32" ht="5.0999999999999996" customHeight="1" x14ac:dyDescent="0.25">
      <c r="A11" s="347"/>
      <c r="B11" s="348"/>
      <c r="C11" s="350"/>
      <c r="D11" s="350"/>
      <c r="E11" s="350"/>
      <c r="F11" s="351"/>
      <c r="G11" s="348"/>
      <c r="H11" s="348"/>
      <c r="I11" s="348"/>
      <c r="J11" s="352"/>
      <c r="K11" s="352"/>
      <c r="L11" s="352"/>
      <c r="M11" s="351"/>
      <c r="N11" s="348"/>
      <c r="O11" s="348"/>
      <c r="P11" s="348"/>
      <c r="Q11" s="352"/>
      <c r="R11" s="352"/>
      <c r="S11" s="352"/>
      <c r="T11" s="351"/>
      <c r="U11" s="347"/>
      <c r="V11" s="347"/>
      <c r="W11" s="348"/>
      <c r="X11" s="352"/>
      <c r="Y11" s="352"/>
      <c r="Z11" s="352"/>
      <c r="AA11" s="351"/>
      <c r="AB11" s="347"/>
      <c r="AC11" s="347"/>
      <c r="AD11" s="347"/>
      <c r="AE11" s="347"/>
      <c r="AF11" s="347"/>
    </row>
    <row r="12" spans="1:32" ht="12.95" customHeight="1" x14ac:dyDescent="0.25">
      <c r="A12" s="347"/>
      <c r="B12" s="348" t="str">
        <f>'- A -'!B10</f>
        <v>Croacia</v>
      </c>
      <c r="C12" s="349" t="str">
        <f>IF('- A -'!C10&lt;&gt;"",'- A -'!C10,"")</f>
        <v/>
      </c>
      <c r="D12" s="350"/>
      <c r="E12" s="349" t="str">
        <f>IF('- A -'!E10&lt;&gt;"",'- A -'!E10,"")</f>
        <v/>
      </c>
      <c r="F12" s="351" t="str">
        <f>'- A -'!F10</f>
        <v>México</v>
      </c>
      <c r="G12" s="348"/>
      <c r="H12" s="348"/>
      <c r="I12" s="348" t="str">
        <f>'- B -'!B10</f>
        <v>Australia</v>
      </c>
      <c r="J12" s="349" t="str">
        <f>IF('- B -'!C10&lt;&gt;"",'- B -'!C10,"")</f>
        <v/>
      </c>
      <c r="K12" s="352"/>
      <c r="L12" s="349" t="str">
        <f>IF('- B -'!E10&lt;&gt;"",'- B -'!E10,"")</f>
        <v/>
      </c>
      <c r="M12" s="351" t="str">
        <f>'- B -'!F10</f>
        <v>España</v>
      </c>
      <c r="N12" s="348"/>
      <c r="O12" s="348"/>
      <c r="P12" s="348" t="str">
        <f>'- C -'!B10</f>
        <v>Japón</v>
      </c>
      <c r="Q12" s="349" t="str">
        <f>IF('- C -'!C10&lt;&gt;"",'- C -'!C10,"")</f>
        <v/>
      </c>
      <c r="R12" s="352"/>
      <c r="S12" s="349" t="str">
        <f>IF('- C -'!E10&lt;&gt;"",'- C -'!E10,"")</f>
        <v/>
      </c>
      <c r="T12" s="351" t="str">
        <f>'- C -'!F10</f>
        <v>Colombia</v>
      </c>
      <c r="U12" s="347"/>
      <c r="V12" s="347"/>
      <c r="W12" s="348" t="str">
        <f>'- D -'!B10</f>
        <v>Italia</v>
      </c>
      <c r="X12" s="349" t="str">
        <f>IF('- D -'!C10&lt;&gt;"",'- D -'!C10,"")</f>
        <v/>
      </c>
      <c r="Y12" s="352"/>
      <c r="Z12" s="349" t="str">
        <f>IF('- D -'!E10&lt;&gt;"",'- D -'!E10,"")</f>
        <v/>
      </c>
      <c r="AA12" s="351" t="str">
        <f>'- D -'!F10</f>
        <v>Uruguay</v>
      </c>
      <c r="AB12" s="347"/>
      <c r="AC12" s="347"/>
      <c r="AD12" s="347"/>
      <c r="AE12" s="347"/>
      <c r="AF12" s="347"/>
    </row>
    <row r="13" spans="1:32" ht="5.0999999999999996" customHeight="1" x14ac:dyDescent="0.25">
      <c r="A13" s="347"/>
      <c r="B13" s="348"/>
      <c r="C13" s="350"/>
      <c r="D13" s="350"/>
      <c r="E13" s="350"/>
      <c r="F13" s="351"/>
      <c r="G13" s="348"/>
      <c r="H13" s="348"/>
      <c r="I13" s="348"/>
      <c r="J13" s="352"/>
      <c r="K13" s="352"/>
      <c r="L13" s="352"/>
      <c r="M13" s="351"/>
      <c r="N13" s="348"/>
      <c r="O13" s="348"/>
      <c r="P13" s="348"/>
      <c r="Q13" s="352"/>
      <c r="R13" s="352"/>
      <c r="S13" s="352"/>
      <c r="T13" s="351"/>
      <c r="U13" s="347"/>
      <c r="V13" s="347"/>
      <c r="W13" s="348"/>
      <c r="X13" s="352"/>
      <c r="Y13" s="352"/>
      <c r="Z13" s="352"/>
      <c r="AA13" s="351"/>
      <c r="AB13" s="347"/>
      <c r="AC13" s="347"/>
      <c r="AD13" s="347"/>
      <c r="AE13" s="347"/>
      <c r="AF13" s="347"/>
    </row>
    <row r="14" spans="1:32" ht="12.95" customHeight="1" x14ac:dyDescent="0.25">
      <c r="A14" s="347"/>
      <c r="B14" s="348" t="str">
        <f>'- A -'!B11</f>
        <v>Camerún</v>
      </c>
      <c r="C14" s="349" t="str">
        <f>IF('- A -'!C11&lt;&gt;"",'- A -'!C11,"")</f>
        <v/>
      </c>
      <c r="D14" s="350"/>
      <c r="E14" s="349" t="str">
        <f>IF('- A -'!E11&lt;&gt;"",'- A -'!E11,"")</f>
        <v/>
      </c>
      <c r="F14" s="351" t="str">
        <f>'- A -'!F11</f>
        <v>Brasil</v>
      </c>
      <c r="G14" s="348"/>
      <c r="H14" s="348"/>
      <c r="I14" s="348" t="str">
        <f>'- B -'!B11</f>
        <v>Países Bajos</v>
      </c>
      <c r="J14" s="349" t="str">
        <f>IF('- B -'!C11&lt;&gt;"",'- B -'!C11,"")</f>
        <v/>
      </c>
      <c r="K14" s="352"/>
      <c r="L14" s="349" t="str">
        <f>IF('- B -'!E11&lt;&gt;"",'- B -'!E11,"")</f>
        <v/>
      </c>
      <c r="M14" s="351" t="str">
        <f>'- B -'!F11</f>
        <v>Chile</v>
      </c>
      <c r="N14" s="348"/>
      <c r="O14" s="348"/>
      <c r="P14" s="348" t="str">
        <f>'- C -'!B11</f>
        <v>Grecia</v>
      </c>
      <c r="Q14" s="349" t="str">
        <f>IF('- C -'!C11&lt;&gt;"",'- C -'!C11,"")</f>
        <v/>
      </c>
      <c r="R14" s="352"/>
      <c r="S14" s="349" t="str">
        <f>IF('- C -'!E11&lt;&gt;"",'- C -'!E11,"")</f>
        <v/>
      </c>
      <c r="T14" s="351" t="str">
        <f>'- C -'!F11</f>
        <v>Costa de Marfil</v>
      </c>
      <c r="U14" s="347"/>
      <c r="V14" s="347"/>
      <c r="W14" s="348" t="str">
        <f>'- D -'!B11</f>
        <v>Costa Rica</v>
      </c>
      <c r="X14" s="349" t="str">
        <f>IF('- D -'!C11&lt;&gt;"",'- D -'!C11,"")</f>
        <v/>
      </c>
      <c r="Y14" s="352"/>
      <c r="Z14" s="349" t="str">
        <f>IF('- D -'!E11&lt;&gt;"",'- D -'!E11,"")</f>
        <v/>
      </c>
      <c r="AA14" s="351" t="str">
        <f>'- D -'!F11</f>
        <v>Inglaterra</v>
      </c>
      <c r="AB14" s="347"/>
      <c r="AC14" s="347"/>
      <c r="AD14" s="347"/>
      <c r="AE14" s="347"/>
      <c r="AF14" s="347"/>
    </row>
    <row r="15" spans="1:32" ht="5.0999999999999996" customHeight="1" x14ac:dyDescent="0.25">
      <c r="A15" s="347"/>
      <c r="B15" s="347"/>
      <c r="C15" s="347"/>
      <c r="D15" s="347"/>
      <c r="E15" s="347"/>
      <c r="F15" s="347"/>
      <c r="G15" s="347"/>
      <c r="H15" s="347"/>
      <c r="I15" s="347"/>
      <c r="J15" s="347"/>
      <c r="K15" s="347"/>
      <c r="L15" s="347"/>
      <c r="M15" s="347"/>
      <c r="N15" s="347"/>
      <c r="O15" s="347"/>
      <c r="P15" s="347"/>
      <c r="Q15" s="347"/>
      <c r="R15" s="347"/>
      <c r="S15" s="347"/>
      <c r="T15" s="347"/>
      <c r="U15" s="347"/>
      <c r="V15" s="347"/>
      <c r="W15" s="347"/>
      <c r="X15" s="347"/>
      <c r="Y15" s="347"/>
      <c r="Z15" s="347"/>
      <c r="AA15" s="347"/>
      <c r="AB15" s="347"/>
      <c r="AC15" s="347"/>
      <c r="AD15" s="347"/>
      <c r="AE15" s="347"/>
      <c r="AF15" s="347"/>
    </row>
    <row r="16" spans="1:32" ht="12.95" customHeight="1" x14ac:dyDescent="0.25">
      <c r="A16" s="347"/>
      <c r="B16" s="595" t="s">
        <v>540</v>
      </c>
      <c r="C16" s="596"/>
      <c r="D16" s="596"/>
      <c r="E16" s="596"/>
      <c r="F16" s="597"/>
      <c r="G16" s="347"/>
      <c r="H16" s="347"/>
      <c r="I16" s="595" t="s">
        <v>541</v>
      </c>
      <c r="J16" s="596"/>
      <c r="K16" s="596"/>
      <c r="L16" s="596"/>
      <c r="M16" s="597"/>
      <c r="N16" s="347"/>
      <c r="O16" s="347"/>
      <c r="P16" s="595" t="s">
        <v>542</v>
      </c>
      <c r="Q16" s="596"/>
      <c r="R16" s="596"/>
      <c r="S16" s="596"/>
      <c r="T16" s="597"/>
      <c r="U16" s="347"/>
      <c r="V16" s="347"/>
      <c r="W16" s="595" t="s">
        <v>543</v>
      </c>
      <c r="X16" s="596"/>
      <c r="Y16" s="596"/>
      <c r="Z16" s="596"/>
      <c r="AA16" s="597"/>
      <c r="AB16" s="347"/>
      <c r="AC16" s="347"/>
      <c r="AD16" s="347"/>
      <c r="AE16" s="347"/>
      <c r="AF16" s="347"/>
    </row>
    <row r="17" spans="1:32" ht="3.95" customHeight="1" x14ac:dyDescent="0.25">
      <c r="A17" s="347"/>
      <c r="B17" s="347"/>
      <c r="C17" s="347"/>
      <c r="D17" s="347"/>
      <c r="E17" s="347"/>
      <c r="F17" s="347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7"/>
      <c r="V17" s="347"/>
      <c r="W17" s="347"/>
      <c r="X17" s="347"/>
      <c r="Y17" s="347"/>
      <c r="Z17" s="347"/>
      <c r="AA17" s="347"/>
      <c r="AB17" s="347"/>
      <c r="AC17" s="347"/>
      <c r="AD17" s="347"/>
      <c r="AE17" s="347"/>
      <c r="AF17" s="347"/>
    </row>
    <row r="18" spans="1:32" ht="12.95" customHeight="1" x14ac:dyDescent="0.25">
      <c r="A18" s="347"/>
      <c r="B18" s="348" t="str">
        <f>'- E -'!B6</f>
        <v>Suiza</v>
      </c>
      <c r="C18" s="349" t="str">
        <f>IF('- E -'!C6&lt;&gt;"",'- E -'!C6,"")</f>
        <v/>
      </c>
      <c r="D18" s="350"/>
      <c r="E18" s="349" t="str">
        <f>IF('- E -'!E6&lt;&gt;"",'- E -'!E6,"")</f>
        <v/>
      </c>
      <c r="F18" s="351" t="str">
        <f>'- E -'!F6</f>
        <v>Ecuador</v>
      </c>
      <c r="G18" s="348"/>
      <c r="H18" s="348"/>
      <c r="I18" s="348" t="str">
        <f>'- F -'!B6</f>
        <v>Argentina</v>
      </c>
      <c r="J18" s="349" t="str">
        <f>IF('- F -'!C6&lt;&gt;"",'- F -'!C6,"")</f>
        <v/>
      </c>
      <c r="K18" s="352"/>
      <c r="L18" s="349" t="str">
        <f>IF('- F -'!E6&lt;&gt;"",'- F -'!E6,"")</f>
        <v/>
      </c>
      <c r="M18" s="351" t="str">
        <f>'- F -'!F6</f>
        <v>Bosnia-Herzegovina</v>
      </c>
      <c r="N18" s="348"/>
      <c r="O18" s="348"/>
      <c r="P18" s="348" t="str">
        <f>'- G -'!B6</f>
        <v>Alemania</v>
      </c>
      <c r="Q18" s="349" t="str">
        <f>IF('- G -'!C6&lt;&gt;"",'- G -'!C6,"")</f>
        <v/>
      </c>
      <c r="R18" s="352"/>
      <c r="S18" s="349" t="str">
        <f>IF('- G -'!E6&lt;&gt;"",'- G -'!E6,"")</f>
        <v/>
      </c>
      <c r="T18" s="351" t="str">
        <f>'- G -'!F6</f>
        <v>Portugal</v>
      </c>
      <c r="U18" s="347"/>
      <c r="V18" s="347"/>
      <c r="W18" s="348" t="str">
        <f>'- H -'!B6</f>
        <v>Bélgica</v>
      </c>
      <c r="X18" s="349" t="str">
        <f>IF('- H -'!C6&lt;&gt;"",'- H -'!C6,"")</f>
        <v/>
      </c>
      <c r="Y18" s="352"/>
      <c r="Z18" s="349" t="str">
        <f>IF('- H -'!E6&lt;&gt;"",'- H -'!E6,"")</f>
        <v/>
      </c>
      <c r="AA18" s="351" t="str">
        <f>'- H -'!F6</f>
        <v>Argelia</v>
      </c>
      <c r="AB18" s="347"/>
      <c r="AC18" s="347"/>
      <c r="AD18" s="347"/>
      <c r="AE18" s="347"/>
      <c r="AF18" s="347"/>
    </row>
    <row r="19" spans="1:32" ht="3.95" customHeight="1" x14ac:dyDescent="0.25">
      <c r="A19" s="347"/>
      <c r="B19" s="347"/>
      <c r="C19" s="350"/>
      <c r="D19" s="350"/>
      <c r="E19" s="350"/>
      <c r="F19" s="347"/>
      <c r="G19" s="348"/>
      <c r="H19" s="348"/>
      <c r="I19" s="347"/>
      <c r="J19" s="352"/>
      <c r="K19" s="352"/>
      <c r="L19" s="352"/>
      <c r="M19" s="347"/>
      <c r="N19" s="348"/>
      <c r="O19" s="348"/>
      <c r="P19" s="347"/>
      <c r="Q19" s="352"/>
      <c r="R19" s="352"/>
      <c r="S19" s="352"/>
      <c r="T19" s="347"/>
      <c r="U19" s="347"/>
      <c r="V19" s="347"/>
      <c r="W19" s="347"/>
      <c r="X19" s="352"/>
      <c r="Y19" s="352"/>
      <c r="Z19" s="352"/>
      <c r="AA19" s="347"/>
      <c r="AB19" s="347"/>
      <c r="AC19" s="347"/>
      <c r="AD19" s="347"/>
      <c r="AE19" s="347"/>
      <c r="AF19" s="347"/>
    </row>
    <row r="20" spans="1:32" ht="12.95" customHeight="1" x14ac:dyDescent="0.25">
      <c r="A20" s="347"/>
      <c r="B20" s="348" t="str">
        <f>'- E -'!B7</f>
        <v>Francia</v>
      </c>
      <c r="C20" s="349" t="str">
        <f>IF('- E -'!C7&lt;&gt;"",'- E -'!C7,"")</f>
        <v/>
      </c>
      <c r="D20" s="350"/>
      <c r="E20" s="349" t="str">
        <f>IF('- E -'!E7&lt;&gt;"",'- E -'!E7,"")</f>
        <v/>
      </c>
      <c r="F20" s="351" t="str">
        <f>'- E -'!F7</f>
        <v>Honduras</v>
      </c>
      <c r="G20" s="348"/>
      <c r="H20" s="348"/>
      <c r="I20" s="348" t="str">
        <f>'- F -'!B7</f>
        <v>Irán</v>
      </c>
      <c r="J20" s="349" t="str">
        <f>IF('- F -'!C7&lt;&gt;"",'- F -'!C7,"")</f>
        <v/>
      </c>
      <c r="K20" s="352"/>
      <c r="L20" s="349" t="str">
        <f>IF('- F -'!E7&lt;&gt;"",'- F -'!E7,"")</f>
        <v/>
      </c>
      <c r="M20" s="351" t="str">
        <f>'- F -'!F7</f>
        <v>Nigeria</v>
      </c>
      <c r="N20" s="348"/>
      <c r="O20" s="348"/>
      <c r="P20" s="348" t="str">
        <f>'- G -'!B7</f>
        <v>Ghana</v>
      </c>
      <c r="Q20" s="349" t="str">
        <f>IF('- G -'!C7&lt;&gt;"",'- G -'!C7,"")</f>
        <v/>
      </c>
      <c r="R20" s="352"/>
      <c r="S20" s="349" t="str">
        <f>IF('- G -'!E7&lt;&gt;"",'- G -'!E7,"")</f>
        <v/>
      </c>
      <c r="T20" s="351" t="str">
        <f>'- G -'!F7</f>
        <v>EEUU</v>
      </c>
      <c r="U20" s="347"/>
      <c r="V20" s="347"/>
      <c r="W20" s="348" t="str">
        <f>'- H -'!B7</f>
        <v>Rusia</v>
      </c>
      <c r="X20" s="349" t="str">
        <f>IF('- H -'!C7&lt;&gt;"",'- H -'!C7,"")</f>
        <v/>
      </c>
      <c r="Y20" s="352"/>
      <c r="Z20" s="349" t="str">
        <f>IF('- H -'!E7&lt;&gt;"",'- H -'!E7,"")</f>
        <v/>
      </c>
      <c r="AA20" s="351" t="str">
        <f>'- H -'!F7</f>
        <v>República de Corea</v>
      </c>
      <c r="AB20" s="347"/>
      <c r="AC20" s="347"/>
      <c r="AD20" s="347"/>
      <c r="AE20" s="347"/>
      <c r="AF20" s="347"/>
    </row>
    <row r="21" spans="1:32" ht="3.95" customHeight="1" x14ac:dyDescent="0.25">
      <c r="A21" s="347"/>
      <c r="B21" s="347"/>
      <c r="C21" s="350"/>
      <c r="D21" s="350"/>
      <c r="E21" s="350"/>
      <c r="F21" s="347"/>
      <c r="G21" s="348"/>
      <c r="H21" s="348"/>
      <c r="I21" s="347"/>
      <c r="J21" s="352"/>
      <c r="K21" s="352"/>
      <c r="L21" s="352"/>
      <c r="M21" s="347"/>
      <c r="N21" s="348"/>
      <c r="O21" s="348"/>
      <c r="P21" s="347"/>
      <c r="Q21" s="352"/>
      <c r="R21" s="352"/>
      <c r="S21" s="352"/>
      <c r="T21" s="347"/>
      <c r="U21" s="347"/>
      <c r="V21" s="347"/>
      <c r="W21" s="347"/>
      <c r="X21" s="352"/>
      <c r="Y21" s="352"/>
      <c r="Z21" s="352"/>
      <c r="AA21" s="347"/>
      <c r="AB21" s="347"/>
      <c r="AC21" s="347"/>
      <c r="AD21" s="347"/>
      <c r="AE21" s="347"/>
      <c r="AF21" s="347"/>
    </row>
    <row r="22" spans="1:32" ht="12.95" customHeight="1" x14ac:dyDescent="0.25">
      <c r="A22" s="347"/>
      <c r="B22" s="348" t="str">
        <f>'- E -'!B8</f>
        <v>Suiza</v>
      </c>
      <c r="C22" s="349" t="str">
        <f>IF('- E -'!C8&lt;&gt;"",'- E -'!C8,"")</f>
        <v/>
      </c>
      <c r="D22" s="350"/>
      <c r="E22" s="349" t="str">
        <f>IF('- E -'!E8&lt;&gt;"",'- E -'!E8,"")</f>
        <v/>
      </c>
      <c r="F22" s="351" t="str">
        <f>'- E -'!F8</f>
        <v>Francia</v>
      </c>
      <c r="G22" s="348"/>
      <c r="H22" s="348"/>
      <c r="I22" s="348" t="str">
        <f>'- F -'!B8</f>
        <v>Argentina</v>
      </c>
      <c r="J22" s="349" t="str">
        <f>IF('- F -'!C8&lt;&gt;"",'- F -'!C8,"")</f>
        <v/>
      </c>
      <c r="K22" s="352"/>
      <c r="L22" s="349" t="str">
        <f>IF('- F -'!E8&lt;&gt;"",'- F -'!E8,"")</f>
        <v/>
      </c>
      <c r="M22" s="351" t="str">
        <f>'- F -'!F8</f>
        <v>Irán</v>
      </c>
      <c r="N22" s="348"/>
      <c r="O22" s="348"/>
      <c r="P22" s="348" t="str">
        <f>'- G -'!B8</f>
        <v>Alemania</v>
      </c>
      <c r="Q22" s="349" t="str">
        <f>IF('- G -'!C8&lt;&gt;"",'- G -'!C8,"")</f>
        <v/>
      </c>
      <c r="R22" s="352"/>
      <c r="S22" s="349" t="str">
        <f>IF('- G -'!E8&lt;&gt;"",'- G -'!E8,"")</f>
        <v/>
      </c>
      <c r="T22" s="351" t="str">
        <f>'- G -'!F8</f>
        <v>Ghana</v>
      </c>
      <c r="U22" s="347"/>
      <c r="V22" s="347"/>
      <c r="W22" s="348" t="str">
        <f>'- H -'!B8</f>
        <v>Bélgica</v>
      </c>
      <c r="X22" s="349" t="str">
        <f>IF('- H -'!C8&lt;&gt;"",'- H -'!C8,"")</f>
        <v/>
      </c>
      <c r="Y22" s="352"/>
      <c r="Z22" s="349" t="str">
        <f>IF('- H -'!E8&lt;&gt;"",'- H -'!E8,"")</f>
        <v/>
      </c>
      <c r="AA22" s="351" t="str">
        <f>'- H -'!F8</f>
        <v>Rusia</v>
      </c>
      <c r="AB22" s="347"/>
      <c r="AC22" s="347"/>
      <c r="AD22" s="347"/>
      <c r="AE22" s="347"/>
      <c r="AF22" s="347"/>
    </row>
    <row r="23" spans="1:32" ht="3.95" customHeight="1" x14ac:dyDescent="0.25">
      <c r="A23" s="347"/>
      <c r="B23" s="347"/>
      <c r="C23" s="350"/>
      <c r="D23" s="350"/>
      <c r="E23" s="350"/>
      <c r="F23" s="347"/>
      <c r="G23" s="348"/>
      <c r="H23" s="348"/>
      <c r="I23" s="347"/>
      <c r="J23" s="352"/>
      <c r="K23" s="352"/>
      <c r="L23" s="352"/>
      <c r="M23" s="347"/>
      <c r="N23" s="348"/>
      <c r="O23" s="348"/>
      <c r="P23" s="347"/>
      <c r="Q23" s="352"/>
      <c r="R23" s="352"/>
      <c r="S23" s="352"/>
      <c r="T23" s="347"/>
      <c r="U23" s="347"/>
      <c r="V23" s="347"/>
      <c r="W23" s="347"/>
      <c r="X23" s="352"/>
      <c r="Y23" s="352"/>
      <c r="Z23" s="352"/>
      <c r="AA23" s="347"/>
      <c r="AB23" s="347"/>
      <c r="AC23" s="347"/>
      <c r="AD23" s="347"/>
      <c r="AE23" s="347"/>
      <c r="AF23" s="347"/>
    </row>
    <row r="24" spans="1:32" ht="12.95" customHeight="1" x14ac:dyDescent="0.25">
      <c r="A24" s="347"/>
      <c r="B24" s="348" t="str">
        <f>'- E -'!B9</f>
        <v>Honduras</v>
      </c>
      <c r="C24" s="349" t="str">
        <f>IF('- E -'!C9&lt;&gt;"",'- E -'!C9,"")</f>
        <v/>
      </c>
      <c r="D24" s="350"/>
      <c r="E24" s="349" t="str">
        <f>IF('- E -'!E9&lt;&gt;"",'- E -'!E9,"")</f>
        <v/>
      </c>
      <c r="F24" s="351" t="str">
        <f>'- E -'!F9</f>
        <v>Ecuador</v>
      </c>
      <c r="G24" s="348"/>
      <c r="H24" s="348"/>
      <c r="I24" s="348" t="str">
        <f>'- F -'!B9</f>
        <v>Nigeria</v>
      </c>
      <c r="J24" s="349" t="str">
        <f>IF('- F -'!C9&lt;&gt;"",'- F -'!C9,"")</f>
        <v/>
      </c>
      <c r="K24" s="352"/>
      <c r="L24" s="349" t="str">
        <f>IF('- F -'!E6&lt;&gt;"",'- F -'!E6,"")</f>
        <v/>
      </c>
      <c r="M24" s="351" t="str">
        <f>'- F -'!F9</f>
        <v>Bosnia-Herzegovina</v>
      </c>
      <c r="N24" s="348"/>
      <c r="O24" s="348"/>
      <c r="P24" s="348" t="str">
        <f>'- G -'!B9</f>
        <v>EEUU</v>
      </c>
      <c r="Q24" s="349" t="str">
        <f>IF('- G -'!C9&lt;&gt;"",'- G -'!C9,"")</f>
        <v/>
      </c>
      <c r="R24" s="352"/>
      <c r="S24" s="349" t="str">
        <f>IF('- G -'!E9&lt;&gt;"",'- G -'!E9,"")</f>
        <v/>
      </c>
      <c r="T24" s="351" t="str">
        <f>'- G -'!F9</f>
        <v>Portugal</v>
      </c>
      <c r="U24" s="347"/>
      <c r="V24" s="347"/>
      <c r="W24" s="348" t="str">
        <f>'- H -'!B9</f>
        <v>República de Corea</v>
      </c>
      <c r="X24" s="349" t="str">
        <f>IF('- H -'!C9&lt;&gt;"",'- H -'!C9,"")</f>
        <v/>
      </c>
      <c r="Y24" s="352"/>
      <c r="Z24" s="349" t="str">
        <f>IF('- H -'!E9&lt;&gt;"",'- H -'!E9,"")</f>
        <v/>
      </c>
      <c r="AA24" s="351" t="str">
        <f>'- H -'!F9</f>
        <v>Argelia</v>
      </c>
      <c r="AB24" s="347"/>
      <c r="AC24" s="347"/>
      <c r="AD24" s="347"/>
      <c r="AE24" s="347"/>
      <c r="AF24" s="347"/>
    </row>
    <row r="25" spans="1:32" ht="3.95" customHeight="1" x14ac:dyDescent="0.25">
      <c r="A25" s="347"/>
      <c r="B25" s="348"/>
      <c r="C25" s="350"/>
      <c r="D25" s="350"/>
      <c r="E25" s="350"/>
      <c r="F25" s="351"/>
      <c r="G25" s="348"/>
      <c r="H25" s="348"/>
      <c r="I25" s="348"/>
      <c r="J25" s="352"/>
      <c r="K25" s="352"/>
      <c r="L25" s="352"/>
      <c r="M25" s="351"/>
      <c r="N25" s="348"/>
      <c r="O25" s="348"/>
      <c r="P25" s="348"/>
      <c r="Q25" s="352"/>
      <c r="R25" s="352"/>
      <c r="S25" s="352"/>
      <c r="T25" s="351"/>
      <c r="U25" s="347"/>
      <c r="V25" s="347"/>
      <c r="W25" s="348"/>
      <c r="X25" s="352"/>
      <c r="Y25" s="352"/>
      <c r="Z25" s="352"/>
      <c r="AA25" s="351"/>
      <c r="AB25" s="347"/>
      <c r="AC25" s="347"/>
      <c r="AD25" s="347"/>
      <c r="AE25" s="347"/>
      <c r="AF25" s="347"/>
    </row>
    <row r="26" spans="1:32" ht="12.95" customHeight="1" x14ac:dyDescent="0.25">
      <c r="A26" s="347"/>
      <c r="B26" s="348" t="str">
        <f>'- E -'!B10</f>
        <v>Honduras</v>
      </c>
      <c r="C26" s="349" t="str">
        <f>IF('- E -'!C10&lt;&gt;"",'- E -'!C10,"")</f>
        <v/>
      </c>
      <c r="D26" s="350"/>
      <c r="E26" s="349" t="str">
        <f>IF('- E -'!E10&lt;&gt;"",'- E -'!E10,"")</f>
        <v/>
      </c>
      <c r="F26" s="351" t="str">
        <f>'- E -'!F10</f>
        <v>Suiza</v>
      </c>
      <c r="G26" s="348"/>
      <c r="H26" s="348"/>
      <c r="I26" s="348" t="str">
        <f>'- F -'!B10</f>
        <v>Nigeria</v>
      </c>
      <c r="J26" s="349" t="str">
        <f>IF('- F -'!C10&lt;&gt;"",'- F -'!C10,"")</f>
        <v/>
      </c>
      <c r="K26" s="352"/>
      <c r="L26" s="349" t="str">
        <f>IF('- F -'!E10&lt;&gt;"",'- F -'!E10,"")</f>
        <v/>
      </c>
      <c r="M26" s="351" t="str">
        <f>'- F -'!F10</f>
        <v>Argentina</v>
      </c>
      <c r="N26" s="348"/>
      <c r="O26" s="348"/>
      <c r="P26" s="348" t="str">
        <f>'- G -'!B10</f>
        <v>EEUU</v>
      </c>
      <c r="Q26" s="349" t="str">
        <f>IF('- G -'!C10&lt;&gt;"",'- G -'!C10,"")</f>
        <v/>
      </c>
      <c r="R26" s="352"/>
      <c r="S26" s="349" t="str">
        <f>IF('- G -'!E10&lt;&gt;"",'- G -'!E10,"")</f>
        <v/>
      </c>
      <c r="T26" s="351" t="str">
        <f>'- G -'!F10</f>
        <v>Alemania</v>
      </c>
      <c r="U26" s="347"/>
      <c r="V26" s="347"/>
      <c r="W26" s="348" t="str">
        <f>'- H -'!B10</f>
        <v>República de Corea</v>
      </c>
      <c r="X26" s="349" t="str">
        <f>IF('- H -'!C10&lt;&gt;"",'- H -'!C10,"")</f>
        <v/>
      </c>
      <c r="Y26" s="352"/>
      <c r="Z26" s="349" t="str">
        <f>IF('- H -'!E10&lt;&gt;"",'- H -'!E10,"")</f>
        <v/>
      </c>
      <c r="AA26" s="351" t="str">
        <f>'- H -'!F10</f>
        <v>Bélgica</v>
      </c>
      <c r="AB26" s="347"/>
      <c r="AC26" s="347"/>
      <c r="AD26" s="347"/>
      <c r="AE26" s="347"/>
      <c r="AF26" s="347"/>
    </row>
    <row r="27" spans="1:32" ht="3.95" customHeight="1" x14ac:dyDescent="0.25">
      <c r="A27" s="347"/>
      <c r="B27" s="348"/>
      <c r="C27" s="350"/>
      <c r="D27" s="350"/>
      <c r="E27" s="350"/>
      <c r="F27" s="351"/>
      <c r="G27" s="348"/>
      <c r="H27" s="348"/>
      <c r="I27" s="348"/>
      <c r="J27" s="352"/>
      <c r="K27" s="352"/>
      <c r="L27" s="352"/>
      <c r="M27" s="351"/>
      <c r="N27" s="348"/>
      <c r="O27" s="348"/>
      <c r="P27" s="348"/>
      <c r="Q27" s="352"/>
      <c r="R27" s="352"/>
      <c r="S27" s="352"/>
      <c r="T27" s="351"/>
      <c r="U27" s="347"/>
      <c r="V27" s="347"/>
      <c r="W27" s="348"/>
      <c r="X27" s="352"/>
      <c r="Y27" s="352"/>
      <c r="Z27" s="352"/>
      <c r="AA27" s="351"/>
      <c r="AB27" s="347"/>
      <c r="AC27" s="347"/>
      <c r="AD27" s="347"/>
      <c r="AE27" s="347"/>
      <c r="AF27" s="347"/>
    </row>
    <row r="28" spans="1:32" ht="12.95" customHeight="1" x14ac:dyDescent="0.25">
      <c r="A28" s="347"/>
      <c r="B28" s="348" t="str">
        <f>'- E -'!B11</f>
        <v>Ecuador</v>
      </c>
      <c r="C28" s="349" t="str">
        <f>IF('- E -'!C11&lt;&gt;"",'- E -'!C11,"")</f>
        <v/>
      </c>
      <c r="D28" s="350"/>
      <c r="E28" s="349" t="str">
        <f>IF('- E -'!E11&lt;&gt;"",'- E -'!E11,"")</f>
        <v/>
      </c>
      <c r="F28" s="351" t="str">
        <f>'- E -'!F11</f>
        <v>Francia</v>
      </c>
      <c r="G28" s="348"/>
      <c r="H28" s="348"/>
      <c r="I28" s="348" t="str">
        <f>'- F -'!B11</f>
        <v>Bosnia-Herzegovina</v>
      </c>
      <c r="J28" s="349" t="str">
        <f>IF('- F -'!C11&lt;&gt;"",'- F -'!C11,"")</f>
        <v/>
      </c>
      <c r="K28" s="352"/>
      <c r="L28" s="349" t="str">
        <f>IF('- F -'!E11&lt;&gt;"",'- F -'!E11,"")</f>
        <v/>
      </c>
      <c r="M28" s="351" t="str">
        <f>'- F -'!F11</f>
        <v>Irán</v>
      </c>
      <c r="N28" s="348"/>
      <c r="O28" s="348"/>
      <c r="P28" s="348" t="str">
        <f>'- G -'!B11</f>
        <v>Portugal</v>
      </c>
      <c r="Q28" s="349" t="str">
        <f>IF('- G -'!C11&lt;&gt;"",'- G -'!C11,"")</f>
        <v/>
      </c>
      <c r="R28" s="352"/>
      <c r="S28" s="349" t="str">
        <f>IF('- G -'!E11&lt;&gt;"",'- G -'!E11,"")</f>
        <v/>
      </c>
      <c r="T28" s="351" t="str">
        <f>'- G -'!F11</f>
        <v>Ghana</v>
      </c>
      <c r="U28" s="347"/>
      <c r="V28" s="347"/>
      <c r="W28" s="348" t="str">
        <f>'- H -'!B11</f>
        <v>Argelia</v>
      </c>
      <c r="X28" s="349" t="str">
        <f>IF('- H -'!C11&lt;&gt;"",'- H -'!C11,"")</f>
        <v/>
      </c>
      <c r="Y28" s="352"/>
      <c r="Z28" s="349" t="str">
        <f>IF('- H -'!E11&lt;&gt;"",'- H -'!E11,"")</f>
        <v/>
      </c>
      <c r="AA28" s="351" t="str">
        <f>'- H -'!F11</f>
        <v>Rusia</v>
      </c>
      <c r="AB28" s="347"/>
      <c r="AC28" s="347"/>
      <c r="AD28" s="347"/>
      <c r="AE28" s="347"/>
      <c r="AF28" s="347"/>
    </row>
    <row r="29" spans="1:32" ht="9.9499999999999993" customHeight="1" x14ac:dyDescent="0.25">
      <c r="A29" s="347"/>
      <c r="B29" s="347"/>
      <c r="C29" s="347"/>
      <c r="D29" s="347"/>
      <c r="E29" s="347"/>
      <c r="F29" s="347"/>
      <c r="G29" s="347"/>
      <c r="H29" s="347"/>
      <c r="I29" s="347"/>
      <c r="J29" s="347"/>
      <c r="K29" s="347"/>
      <c r="L29" s="347"/>
      <c r="M29" s="347"/>
      <c r="N29" s="347"/>
      <c r="O29" s="347"/>
      <c r="P29" s="347"/>
      <c r="Q29" s="347"/>
      <c r="R29" s="347"/>
      <c r="S29" s="347"/>
      <c r="T29" s="347"/>
      <c r="U29" s="347"/>
      <c r="V29" s="347"/>
      <c r="W29" s="347"/>
      <c r="X29" s="347"/>
      <c r="Y29" s="347"/>
      <c r="Z29" s="347"/>
      <c r="AA29" s="347"/>
      <c r="AB29" s="347"/>
      <c r="AC29" s="347"/>
      <c r="AD29" s="347"/>
      <c r="AE29" s="347"/>
      <c r="AF29" s="347"/>
    </row>
    <row r="30" spans="1:32" ht="12.95" customHeight="1" x14ac:dyDescent="0.25">
      <c r="A30" s="347"/>
      <c r="B30" s="595" t="s">
        <v>11</v>
      </c>
      <c r="C30" s="596"/>
      <c r="D30" s="596"/>
      <c r="E30" s="596"/>
      <c r="F30" s="59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7"/>
      <c r="W30" s="353"/>
      <c r="X30" s="353"/>
      <c r="Y30" s="353"/>
      <c r="Z30" s="353"/>
      <c r="AA30" s="353"/>
      <c r="AB30" s="347"/>
      <c r="AC30" s="347"/>
      <c r="AD30" s="347"/>
      <c r="AE30" s="347"/>
      <c r="AF30" s="347"/>
    </row>
    <row r="31" spans="1:32" ht="3.95" customHeight="1" x14ac:dyDescent="0.25">
      <c r="A31" s="347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347"/>
    </row>
    <row r="32" spans="1:32" ht="12.95" customHeight="1" x14ac:dyDescent="0.25">
      <c r="A32" s="348"/>
      <c r="B32" s="580"/>
      <c r="C32" s="580"/>
      <c r="D32" s="348"/>
      <c r="E32" s="580"/>
      <c r="F32" s="580"/>
      <c r="G32" s="348"/>
      <c r="H32" s="348"/>
      <c r="I32" s="595" t="s">
        <v>544</v>
      </c>
      <c r="J32" s="596"/>
      <c r="K32" s="596"/>
      <c r="L32" s="596"/>
      <c r="M32" s="597"/>
      <c r="N32" s="348"/>
      <c r="O32" s="348"/>
      <c r="P32" s="348"/>
      <c r="Q32" s="348"/>
      <c r="R32" s="348"/>
      <c r="S32" s="348"/>
      <c r="T32" s="348"/>
      <c r="U32" s="348"/>
      <c r="V32" s="348"/>
      <c r="W32" s="348"/>
      <c r="X32" s="348"/>
      <c r="Y32" s="348"/>
      <c r="Z32" s="348"/>
      <c r="AA32" s="348"/>
      <c r="AB32" s="348"/>
      <c r="AC32" s="348"/>
      <c r="AD32" s="348"/>
      <c r="AE32" s="348"/>
      <c r="AF32" s="348"/>
    </row>
    <row r="33" spans="1:32" ht="6" customHeight="1" x14ac:dyDescent="0.25">
      <c r="A33" s="348"/>
      <c r="B33" s="581" t="str">
        <f>'Octavos de Final'!E7</f>
        <v>1ero Grupo A</v>
      </c>
      <c r="C33" s="587" t="str">
        <f>IF('Octavos de Final'!F7&lt;&gt;"",'Octavos de Final'!F7,"")</f>
        <v/>
      </c>
      <c r="D33" s="350"/>
      <c r="E33" s="591" t="str">
        <f>IF('Octavos de Final'!F9&lt;&gt;"",'Octavos de Final'!F9,"")</f>
        <v/>
      </c>
      <c r="F33" s="593" t="str">
        <f>'Octavos de Final'!E9</f>
        <v>2do Grupo B</v>
      </c>
      <c r="G33" s="354"/>
      <c r="H33" s="348"/>
      <c r="I33" s="348"/>
      <c r="J33" s="348"/>
      <c r="K33" s="348"/>
      <c r="L33" s="348"/>
      <c r="M33" s="348"/>
      <c r="N33" s="348"/>
      <c r="O33" s="348"/>
      <c r="P33" s="348"/>
      <c r="Q33" s="348"/>
      <c r="R33" s="348"/>
      <c r="S33" s="348"/>
      <c r="T33" s="348"/>
      <c r="U33" s="348"/>
      <c r="V33" s="348"/>
      <c r="W33" s="348"/>
      <c r="X33" s="348"/>
      <c r="Y33" s="348"/>
      <c r="Z33" s="348"/>
      <c r="AA33" s="348"/>
      <c r="AB33" s="348"/>
      <c r="AC33" s="348"/>
      <c r="AD33" s="348"/>
      <c r="AE33" s="348"/>
      <c r="AF33" s="348"/>
    </row>
    <row r="34" spans="1:32" ht="6" customHeight="1" x14ac:dyDescent="0.25">
      <c r="A34" s="348"/>
      <c r="B34" s="582"/>
      <c r="C34" s="588"/>
      <c r="D34" s="350"/>
      <c r="E34" s="592"/>
      <c r="F34" s="594"/>
      <c r="G34" s="355"/>
      <c r="H34" s="348"/>
      <c r="I34" s="348"/>
      <c r="J34" s="348"/>
      <c r="K34" s="348"/>
      <c r="L34" s="348"/>
      <c r="M34" s="348"/>
      <c r="N34" s="348"/>
      <c r="O34" s="348"/>
      <c r="P34" s="348"/>
      <c r="Q34" s="348"/>
      <c r="R34" s="348"/>
      <c r="S34" s="348"/>
      <c r="T34" s="348"/>
      <c r="U34" s="348"/>
      <c r="V34" s="348"/>
      <c r="W34" s="348"/>
      <c r="X34" s="348"/>
      <c r="Y34" s="348"/>
      <c r="Z34" s="348"/>
      <c r="AA34" s="348"/>
      <c r="AB34" s="348"/>
      <c r="AC34" s="348"/>
      <c r="AD34" s="348"/>
      <c r="AE34" s="348"/>
      <c r="AF34" s="348"/>
    </row>
    <row r="35" spans="1:32" ht="6" customHeight="1" x14ac:dyDescent="0.25">
      <c r="A35" s="348"/>
      <c r="B35" s="350"/>
      <c r="C35" s="348"/>
      <c r="D35" s="348"/>
      <c r="E35" s="348"/>
      <c r="F35" s="350"/>
      <c r="G35" s="356"/>
      <c r="H35" s="354"/>
      <c r="I35" s="581" t="str">
        <f>'Cuartos de Final'!E7</f>
        <v>OF1</v>
      </c>
      <c r="J35" s="587" t="str">
        <f>IF('Cuartos de Final'!F7&lt;&gt;"",'Cuartos de Final'!F7,"")</f>
        <v/>
      </c>
      <c r="K35" s="352"/>
      <c r="L35" s="587" t="str">
        <f>IF('Cuartos de Final'!F9&lt;&gt;"",'Cuartos de Final'!F9,"")</f>
        <v/>
      </c>
      <c r="M35" s="585" t="str">
        <f>'Cuartos de Final'!E9</f>
        <v>OF2</v>
      </c>
      <c r="N35" s="354"/>
      <c r="O35" s="348"/>
      <c r="P35" s="348"/>
      <c r="Q35" s="348"/>
      <c r="R35" s="348"/>
      <c r="S35" s="348"/>
      <c r="T35" s="348"/>
      <c r="U35" s="348"/>
      <c r="V35" s="348"/>
      <c r="W35" s="348"/>
      <c r="X35" s="348"/>
      <c r="Y35" s="348"/>
      <c r="Z35" s="348"/>
      <c r="AA35" s="357"/>
      <c r="AB35" s="348"/>
      <c r="AC35" s="348"/>
      <c r="AD35" s="348"/>
      <c r="AE35" s="348"/>
      <c r="AF35" s="348"/>
    </row>
    <row r="36" spans="1:32" ht="6" customHeight="1" x14ac:dyDescent="0.25">
      <c r="A36" s="348"/>
      <c r="B36" s="350"/>
      <c r="C36" s="348"/>
      <c r="D36" s="348"/>
      <c r="E36" s="348"/>
      <c r="F36" s="350"/>
      <c r="G36" s="356"/>
      <c r="H36" s="348"/>
      <c r="I36" s="582"/>
      <c r="J36" s="588"/>
      <c r="K36" s="352"/>
      <c r="L36" s="588"/>
      <c r="M36" s="586"/>
      <c r="N36" s="355"/>
      <c r="O36" s="348"/>
      <c r="P36" s="348"/>
      <c r="Q36" s="348"/>
      <c r="R36" s="348"/>
      <c r="S36" s="348"/>
      <c r="T36" s="348"/>
      <c r="U36" s="348"/>
      <c r="V36" s="348"/>
      <c r="W36" s="348"/>
      <c r="X36" s="348"/>
      <c r="Y36" s="348"/>
      <c r="Z36" s="348"/>
      <c r="AA36" s="348"/>
      <c r="AB36" s="348"/>
      <c r="AC36" s="348"/>
      <c r="AD36" s="348"/>
      <c r="AE36" s="348"/>
      <c r="AF36" s="348"/>
    </row>
    <row r="37" spans="1:32" ht="12.95" customHeight="1" x14ac:dyDescent="0.25">
      <c r="A37" s="348"/>
      <c r="B37" s="580"/>
      <c r="C37" s="580"/>
      <c r="D37" s="348"/>
      <c r="E37" s="580"/>
      <c r="F37" s="580"/>
      <c r="G37" s="356"/>
      <c r="H37" s="348"/>
      <c r="I37" s="358"/>
      <c r="J37" s="358"/>
      <c r="K37" s="358"/>
      <c r="L37" s="358"/>
      <c r="M37" s="358"/>
      <c r="N37" s="356"/>
      <c r="O37" s="348"/>
      <c r="P37" s="595" t="s">
        <v>545</v>
      </c>
      <c r="Q37" s="596"/>
      <c r="R37" s="596"/>
      <c r="S37" s="596"/>
      <c r="T37" s="597"/>
      <c r="U37" s="348"/>
      <c r="V37" s="348"/>
      <c r="W37" s="348"/>
      <c r="X37" s="348"/>
      <c r="Y37" s="348"/>
      <c r="Z37" s="348"/>
      <c r="AA37" s="348"/>
      <c r="AB37" s="348"/>
      <c r="AC37" s="348"/>
      <c r="AD37" s="348"/>
      <c r="AE37" s="348"/>
      <c r="AF37" s="348"/>
    </row>
    <row r="38" spans="1:32" ht="6" customHeight="1" x14ac:dyDescent="0.25">
      <c r="A38" s="348"/>
      <c r="B38" s="581" t="str">
        <f>'Octavos de Final'!E11</f>
        <v>1ero Grupo C</v>
      </c>
      <c r="C38" s="587" t="str">
        <f>IF('Octavos de Final'!F11&lt;&gt;"",'Octavos de Final'!F11,"")</f>
        <v/>
      </c>
      <c r="D38" s="350"/>
      <c r="E38" s="591" t="str">
        <f>IF('Octavos de Final'!F13&lt;&gt;"",'Octavos de Final'!F13,"")</f>
        <v/>
      </c>
      <c r="F38" s="593" t="str">
        <f>'Octavos de Final'!E13</f>
        <v>2do Grupo D</v>
      </c>
      <c r="G38" s="359"/>
      <c r="H38" s="348"/>
      <c r="I38" s="358"/>
      <c r="J38" s="358"/>
      <c r="K38" s="358"/>
      <c r="L38" s="358"/>
      <c r="M38" s="358"/>
      <c r="N38" s="356"/>
      <c r="O38" s="348"/>
      <c r="P38" s="348"/>
      <c r="Q38" s="348"/>
      <c r="R38" s="348"/>
      <c r="S38" s="348"/>
      <c r="T38" s="348"/>
      <c r="U38" s="348"/>
      <c r="V38" s="348"/>
      <c r="W38" s="348"/>
      <c r="X38" s="348"/>
      <c r="Y38" s="348"/>
      <c r="Z38" s="348"/>
      <c r="AA38" s="348"/>
      <c r="AB38" s="348"/>
      <c r="AC38" s="348"/>
      <c r="AD38" s="348"/>
      <c r="AE38" s="348"/>
      <c r="AF38" s="348"/>
    </row>
    <row r="39" spans="1:32" ht="6" customHeight="1" x14ac:dyDescent="0.25">
      <c r="A39" s="348"/>
      <c r="B39" s="582"/>
      <c r="C39" s="588"/>
      <c r="D39" s="350"/>
      <c r="E39" s="592"/>
      <c r="F39" s="594"/>
      <c r="G39" s="348"/>
      <c r="H39" s="348"/>
      <c r="I39" s="358"/>
      <c r="J39" s="358"/>
      <c r="K39" s="358"/>
      <c r="L39" s="358"/>
      <c r="M39" s="358"/>
      <c r="N39" s="356"/>
      <c r="O39" s="348"/>
      <c r="P39" s="348"/>
      <c r="Q39" s="348"/>
      <c r="R39" s="348"/>
      <c r="S39" s="348"/>
      <c r="T39" s="348"/>
      <c r="U39" s="348"/>
      <c r="V39" s="348"/>
      <c r="W39" s="348"/>
      <c r="X39" s="348"/>
      <c r="Y39" s="348"/>
      <c r="Z39" s="348"/>
      <c r="AA39" s="348"/>
      <c r="AB39" s="348"/>
      <c r="AC39" s="348"/>
      <c r="AD39" s="348"/>
      <c r="AE39" s="348"/>
      <c r="AF39" s="348"/>
    </row>
    <row r="40" spans="1:32" ht="6" customHeight="1" x14ac:dyDescent="0.25">
      <c r="A40" s="348"/>
      <c r="B40" s="350"/>
      <c r="C40" s="348"/>
      <c r="D40" s="348"/>
      <c r="E40" s="348"/>
      <c r="F40" s="350"/>
      <c r="G40" s="348"/>
      <c r="H40" s="348"/>
      <c r="I40" s="358"/>
      <c r="J40" s="358"/>
      <c r="K40" s="358"/>
      <c r="L40" s="358"/>
      <c r="M40" s="358"/>
      <c r="N40" s="356"/>
      <c r="O40" s="354"/>
      <c r="P40" s="581" t="str">
        <f>Semifinal!E7</f>
        <v>CF1</v>
      </c>
      <c r="Q40" s="587" t="str">
        <f>IF(Semifinal!F7&lt;&gt;"",Semifinal!F7,"")</f>
        <v/>
      </c>
      <c r="R40" s="352"/>
      <c r="S40" s="587" t="str">
        <f>IF(Semifinal!F9&lt;&gt;"",Semifinal!F9,"")</f>
        <v/>
      </c>
      <c r="T40" s="585" t="str">
        <f>Semifinal!E9</f>
        <v>CF2</v>
      </c>
      <c r="U40" s="354"/>
      <c r="V40" s="348"/>
      <c r="W40" s="348"/>
      <c r="X40" s="348"/>
      <c r="Y40" s="348"/>
      <c r="Z40" s="348"/>
      <c r="AA40" s="348"/>
      <c r="AB40" s="348"/>
      <c r="AC40" s="348"/>
      <c r="AD40" s="348"/>
      <c r="AE40" s="348"/>
      <c r="AF40" s="348"/>
    </row>
    <row r="41" spans="1:32" ht="6" customHeight="1" x14ac:dyDescent="0.25">
      <c r="A41" s="348"/>
      <c r="B41" s="350"/>
      <c r="C41" s="348"/>
      <c r="D41" s="348"/>
      <c r="E41" s="348"/>
      <c r="F41" s="350"/>
      <c r="G41" s="348"/>
      <c r="H41" s="348"/>
      <c r="I41" s="358"/>
      <c r="J41" s="358"/>
      <c r="K41" s="358"/>
      <c r="L41" s="358"/>
      <c r="M41" s="358"/>
      <c r="N41" s="356"/>
      <c r="O41" s="348"/>
      <c r="P41" s="582"/>
      <c r="Q41" s="588"/>
      <c r="R41" s="352"/>
      <c r="S41" s="588"/>
      <c r="T41" s="586"/>
      <c r="U41" s="355"/>
      <c r="V41" s="348"/>
      <c r="W41" s="348"/>
      <c r="X41" s="348"/>
      <c r="Y41" s="348"/>
      <c r="Z41" s="348"/>
      <c r="AA41" s="348"/>
      <c r="AB41" s="348"/>
      <c r="AC41" s="348"/>
      <c r="AD41" s="348"/>
      <c r="AE41" s="348"/>
      <c r="AF41" s="348"/>
    </row>
    <row r="42" spans="1:32" ht="12.95" customHeight="1" x14ac:dyDescent="0.25">
      <c r="A42" s="348"/>
      <c r="B42" s="580"/>
      <c r="C42" s="580"/>
      <c r="D42" s="348"/>
      <c r="E42" s="580"/>
      <c r="F42" s="580"/>
      <c r="G42" s="348"/>
      <c r="H42" s="348"/>
      <c r="I42" s="358"/>
      <c r="J42" s="358"/>
      <c r="K42" s="358"/>
      <c r="L42" s="358"/>
      <c r="M42" s="358"/>
      <c r="N42" s="356"/>
      <c r="O42" s="348"/>
      <c r="P42" s="358"/>
      <c r="Q42" s="358"/>
      <c r="R42" s="358"/>
      <c r="S42" s="358"/>
      <c r="T42" s="358"/>
      <c r="U42" s="356"/>
      <c r="V42" s="348"/>
      <c r="W42" s="348"/>
      <c r="X42" s="348"/>
      <c r="Y42" s="348"/>
      <c r="Z42" s="348"/>
      <c r="AA42" s="348"/>
      <c r="AB42" s="348"/>
      <c r="AC42" s="348"/>
      <c r="AD42" s="348"/>
      <c r="AE42" s="348"/>
      <c r="AF42" s="348"/>
    </row>
    <row r="43" spans="1:32" ht="6" customHeight="1" x14ac:dyDescent="0.25">
      <c r="A43" s="348"/>
      <c r="B43" s="581" t="str">
        <f>'Octavos de Final'!E23</f>
        <v>1ero Grupo E</v>
      </c>
      <c r="C43" s="587" t="str">
        <f>IF('Octavos de Final'!F23&lt;&gt;"",'Octavos de Final'!F23,"")</f>
        <v/>
      </c>
      <c r="D43" s="350"/>
      <c r="E43" s="591" t="str">
        <f>IF('Octavos de Final'!F25&lt;&gt;"",'Octavos de Final'!F25,"")</f>
        <v/>
      </c>
      <c r="F43" s="593" t="str">
        <f>'Octavos de Final'!E25</f>
        <v>2do Grupo F</v>
      </c>
      <c r="G43" s="354"/>
      <c r="H43" s="348"/>
      <c r="I43" s="358"/>
      <c r="J43" s="358"/>
      <c r="K43" s="358"/>
      <c r="L43" s="358"/>
      <c r="M43" s="358"/>
      <c r="N43" s="356"/>
      <c r="O43" s="348"/>
      <c r="P43" s="358"/>
      <c r="Q43" s="358"/>
      <c r="R43" s="358"/>
      <c r="S43" s="358"/>
      <c r="T43" s="358"/>
      <c r="U43" s="356"/>
      <c r="V43" s="348"/>
      <c r="W43" s="348"/>
      <c r="X43" s="348"/>
      <c r="Y43" s="348"/>
      <c r="Z43" s="348"/>
      <c r="AA43" s="348"/>
      <c r="AB43" s="348"/>
      <c r="AC43" s="348"/>
      <c r="AD43" s="348"/>
      <c r="AE43" s="348"/>
      <c r="AF43" s="348"/>
    </row>
    <row r="44" spans="1:32" ht="6" customHeight="1" x14ac:dyDescent="0.25">
      <c r="A44" s="348"/>
      <c r="B44" s="582"/>
      <c r="C44" s="588"/>
      <c r="D44" s="350"/>
      <c r="E44" s="592"/>
      <c r="F44" s="594"/>
      <c r="G44" s="355"/>
      <c r="H44" s="348"/>
      <c r="I44" s="358"/>
      <c r="J44" s="358"/>
      <c r="K44" s="358"/>
      <c r="L44" s="358"/>
      <c r="M44" s="358"/>
      <c r="N44" s="356"/>
      <c r="O44" s="348"/>
      <c r="P44" s="358"/>
      <c r="Q44" s="358"/>
      <c r="R44" s="358"/>
      <c r="S44" s="358"/>
      <c r="T44" s="358"/>
      <c r="U44" s="356"/>
      <c r="V44" s="348"/>
      <c r="W44" s="348"/>
      <c r="X44" s="348"/>
      <c r="Y44" s="348"/>
      <c r="Z44" s="348"/>
      <c r="AA44" s="348"/>
      <c r="AB44" s="348"/>
      <c r="AC44" s="348"/>
      <c r="AD44" s="348"/>
      <c r="AE44" s="348"/>
      <c r="AF44" s="348"/>
    </row>
    <row r="45" spans="1:32" ht="6" customHeight="1" x14ac:dyDescent="0.25">
      <c r="A45" s="348"/>
      <c r="B45" s="350"/>
      <c r="C45" s="348"/>
      <c r="D45" s="348"/>
      <c r="E45" s="348"/>
      <c r="F45" s="350"/>
      <c r="G45" s="356"/>
      <c r="H45" s="354"/>
      <c r="I45" s="581" t="str">
        <f>'Cuartos de Final'!E11</f>
        <v>OF5</v>
      </c>
      <c r="J45" s="587" t="str">
        <f>IF('Cuartos de Final'!F11&lt;&gt;"",'Cuartos de Final'!F11,"")</f>
        <v/>
      </c>
      <c r="K45" s="352"/>
      <c r="L45" s="587" t="str">
        <f>IF('Cuartos de Final'!F13&lt;&gt;"",'Cuartos de Final'!F13,"")</f>
        <v/>
      </c>
      <c r="M45" s="585" t="str">
        <f>'Cuartos de Final'!E13</f>
        <v>OF6</v>
      </c>
      <c r="N45" s="359"/>
      <c r="O45" s="348"/>
      <c r="P45" s="358"/>
      <c r="Q45" s="358"/>
      <c r="R45" s="358"/>
      <c r="S45" s="358"/>
      <c r="T45" s="358"/>
      <c r="U45" s="356"/>
      <c r="V45" s="348"/>
      <c r="W45" s="600" t="s">
        <v>87</v>
      </c>
      <c r="X45" s="601"/>
      <c r="Y45" s="601"/>
      <c r="Z45" s="601"/>
      <c r="AA45" s="602"/>
      <c r="AB45" s="348"/>
      <c r="AC45" s="606"/>
      <c r="AD45" s="606"/>
      <c r="AE45" s="348"/>
      <c r="AF45" s="348"/>
    </row>
    <row r="46" spans="1:32" ht="6" customHeight="1" x14ac:dyDescent="0.25">
      <c r="A46" s="348"/>
      <c r="B46" s="350"/>
      <c r="C46" s="348"/>
      <c r="D46" s="348"/>
      <c r="E46" s="348"/>
      <c r="F46" s="350"/>
      <c r="G46" s="356"/>
      <c r="H46" s="348"/>
      <c r="I46" s="582"/>
      <c r="J46" s="588"/>
      <c r="K46" s="352"/>
      <c r="L46" s="588"/>
      <c r="M46" s="586"/>
      <c r="N46" s="348"/>
      <c r="O46" s="348"/>
      <c r="P46" s="358"/>
      <c r="Q46" s="358"/>
      <c r="R46" s="358"/>
      <c r="S46" s="358"/>
      <c r="T46" s="358"/>
      <c r="U46" s="356"/>
      <c r="V46" s="348"/>
      <c r="W46" s="603"/>
      <c r="X46" s="604"/>
      <c r="Y46" s="604"/>
      <c r="Z46" s="604"/>
      <c r="AA46" s="605"/>
      <c r="AB46" s="348"/>
      <c r="AC46" s="606"/>
      <c r="AD46" s="606"/>
      <c r="AE46" s="348"/>
      <c r="AF46" s="348"/>
    </row>
    <row r="47" spans="1:32" ht="12.95" customHeight="1" x14ac:dyDescent="0.25">
      <c r="A47" s="348"/>
      <c r="B47" s="580"/>
      <c r="C47" s="580"/>
      <c r="D47" s="348"/>
      <c r="E47" s="580"/>
      <c r="F47" s="580"/>
      <c r="G47" s="356"/>
      <c r="H47" s="348"/>
      <c r="I47" s="358"/>
      <c r="J47" s="358"/>
      <c r="K47" s="358"/>
      <c r="L47" s="358"/>
      <c r="M47" s="358"/>
      <c r="N47" s="348"/>
      <c r="O47" s="348"/>
      <c r="P47" s="358"/>
      <c r="Q47" s="358"/>
      <c r="R47" s="358"/>
      <c r="S47" s="358"/>
      <c r="T47" s="358"/>
      <c r="U47" s="356"/>
      <c r="V47" s="348"/>
      <c r="W47" s="348"/>
      <c r="X47" s="348"/>
      <c r="Y47" s="348"/>
      <c r="Z47" s="348"/>
      <c r="AA47" s="348"/>
      <c r="AB47" s="348"/>
      <c r="AC47" s="607" t="s">
        <v>546</v>
      </c>
      <c r="AD47" s="607"/>
      <c r="AE47" s="348"/>
      <c r="AF47" s="348"/>
    </row>
    <row r="48" spans="1:32" ht="6" customHeight="1" x14ac:dyDescent="0.25">
      <c r="A48" s="348"/>
      <c r="B48" s="581" t="str">
        <f>'Octavos de Final'!E27</f>
        <v>1ero Grupo G</v>
      </c>
      <c r="C48" s="587" t="str">
        <f>IF('Octavos de Final'!F27&lt;&gt;"",'Octavos de Final'!F27,"")</f>
        <v/>
      </c>
      <c r="D48" s="350"/>
      <c r="E48" s="591" t="str">
        <f>IF('Octavos de Final'!F29&lt;&gt;"",'Octavos de Final'!F29,"")</f>
        <v/>
      </c>
      <c r="F48" s="593" t="str">
        <f>'Octavos de Final'!E29</f>
        <v>2do Grupo H</v>
      </c>
      <c r="G48" s="359"/>
      <c r="H48" s="348"/>
      <c r="I48" s="358"/>
      <c r="J48" s="358"/>
      <c r="K48" s="358"/>
      <c r="L48" s="358"/>
      <c r="M48" s="358"/>
      <c r="N48" s="348"/>
      <c r="O48" s="348"/>
      <c r="P48" s="358"/>
      <c r="Q48" s="358"/>
      <c r="R48" s="358"/>
      <c r="S48" s="358"/>
      <c r="T48" s="358"/>
      <c r="U48" s="356"/>
      <c r="V48" s="360"/>
      <c r="W48" s="581" t="str">
        <f>'3er puesto y FINAL'!E15</f>
        <v>SF1</v>
      </c>
      <c r="X48" s="587" t="str">
        <f>IF('3er puesto y FINAL'!F15&lt;&gt;"",'3er puesto y FINAL'!F15,"")</f>
        <v/>
      </c>
      <c r="Y48" s="352"/>
      <c r="Z48" s="587" t="str">
        <f>IF('3er puesto y FINAL'!F17&lt;&gt;"",'3er puesto y FINAL'!F17,"")</f>
        <v/>
      </c>
      <c r="AA48" s="585" t="str">
        <f>'3er puesto y FINAL'!E17</f>
        <v>SF2</v>
      </c>
      <c r="AB48" s="361"/>
      <c r="AC48" s="598" t="str">
        <f>'3er puesto y FINAL'!J16</f>
        <v>CAMPEÓN</v>
      </c>
      <c r="AD48" s="598"/>
      <c r="AE48" s="348"/>
      <c r="AF48" s="348"/>
    </row>
    <row r="49" spans="1:32" ht="6" customHeight="1" x14ac:dyDescent="0.25">
      <c r="A49" s="348"/>
      <c r="B49" s="582"/>
      <c r="C49" s="588"/>
      <c r="D49" s="350"/>
      <c r="E49" s="592"/>
      <c r="F49" s="594"/>
      <c r="G49" s="348"/>
      <c r="H49" s="348"/>
      <c r="I49" s="358"/>
      <c r="J49" s="358"/>
      <c r="K49" s="358"/>
      <c r="L49" s="358"/>
      <c r="M49" s="358"/>
      <c r="N49" s="348"/>
      <c r="O49" s="348"/>
      <c r="P49" s="358"/>
      <c r="Q49" s="358"/>
      <c r="R49" s="358"/>
      <c r="S49" s="358"/>
      <c r="T49" s="358"/>
      <c r="U49" s="356"/>
      <c r="V49" s="348"/>
      <c r="W49" s="582"/>
      <c r="X49" s="588"/>
      <c r="Y49" s="352"/>
      <c r="Z49" s="588"/>
      <c r="AA49" s="586"/>
      <c r="AB49" s="358"/>
      <c r="AC49" s="599"/>
      <c r="AD49" s="599"/>
      <c r="AE49" s="348"/>
      <c r="AF49" s="348"/>
    </row>
    <row r="50" spans="1:32" ht="12.95" customHeight="1" x14ac:dyDescent="0.25">
      <c r="A50" s="348"/>
      <c r="B50" s="350"/>
      <c r="C50" s="348"/>
      <c r="D50" s="348"/>
      <c r="E50" s="348"/>
      <c r="F50" s="350"/>
      <c r="G50" s="348"/>
      <c r="H50" s="348"/>
      <c r="I50" s="358"/>
      <c r="J50" s="358"/>
      <c r="K50" s="358"/>
      <c r="L50" s="358"/>
      <c r="M50" s="358"/>
      <c r="N50" s="348"/>
      <c r="O50" s="348"/>
      <c r="P50" s="358"/>
      <c r="Q50" s="358"/>
      <c r="R50" s="358"/>
      <c r="S50" s="358"/>
      <c r="T50" s="358"/>
      <c r="U50" s="356"/>
      <c r="V50" s="348"/>
      <c r="W50" s="348"/>
      <c r="X50" s="348"/>
      <c r="Y50" s="348"/>
      <c r="Z50" s="348"/>
      <c r="AA50" s="348"/>
      <c r="AB50" s="348"/>
      <c r="AC50" s="348"/>
      <c r="AD50" s="348"/>
      <c r="AE50" s="348"/>
      <c r="AF50" s="348"/>
    </row>
    <row r="51" spans="1:32" ht="12.95" customHeight="1" x14ac:dyDescent="0.25">
      <c r="A51" s="348"/>
      <c r="B51" s="350"/>
      <c r="C51" s="348"/>
      <c r="D51" s="348"/>
      <c r="E51" s="348"/>
      <c r="F51" s="350"/>
      <c r="G51" s="348"/>
      <c r="H51" s="348"/>
      <c r="I51" s="358"/>
      <c r="J51" s="358"/>
      <c r="K51" s="358"/>
      <c r="L51" s="358"/>
      <c r="M51" s="358"/>
      <c r="N51" s="348"/>
      <c r="O51" s="348"/>
      <c r="P51" s="358"/>
      <c r="Q51" s="358"/>
      <c r="R51" s="358"/>
      <c r="S51" s="358"/>
      <c r="T51" s="358"/>
      <c r="U51" s="356"/>
      <c r="V51" s="348"/>
      <c r="W51" s="595" t="s">
        <v>547</v>
      </c>
      <c r="X51" s="596"/>
      <c r="Y51" s="596"/>
      <c r="Z51" s="596"/>
      <c r="AA51" s="597"/>
      <c r="AB51" s="348"/>
      <c r="AC51" s="348"/>
      <c r="AD51" s="348"/>
      <c r="AE51" s="348"/>
      <c r="AF51" s="348"/>
    </row>
    <row r="52" spans="1:32" ht="12.95" customHeight="1" x14ac:dyDescent="0.25">
      <c r="A52" s="348"/>
      <c r="B52" s="580"/>
      <c r="C52" s="580"/>
      <c r="D52" s="348"/>
      <c r="E52" s="580"/>
      <c r="F52" s="580"/>
      <c r="G52" s="348"/>
      <c r="H52" s="348"/>
      <c r="I52" s="358"/>
      <c r="J52" s="358"/>
      <c r="K52" s="358"/>
      <c r="L52" s="358"/>
      <c r="M52" s="358"/>
      <c r="N52" s="348"/>
      <c r="O52" s="348"/>
      <c r="P52" s="358"/>
      <c r="Q52" s="358"/>
      <c r="R52" s="358"/>
      <c r="S52" s="358"/>
      <c r="T52" s="358"/>
      <c r="U52" s="356"/>
      <c r="V52" s="348"/>
      <c r="W52" s="362"/>
      <c r="X52" s="362"/>
      <c r="Y52" s="362"/>
      <c r="Z52" s="362"/>
      <c r="AA52" s="362"/>
      <c r="AB52" s="348"/>
      <c r="AC52" s="348"/>
      <c r="AD52" s="348"/>
      <c r="AE52" s="348"/>
      <c r="AF52" s="348"/>
    </row>
    <row r="53" spans="1:32" ht="6" customHeight="1" x14ac:dyDescent="0.25">
      <c r="A53" s="348"/>
      <c r="B53" s="581" t="str">
        <f>'Octavos de Final'!E15</f>
        <v>1ero Grupo B</v>
      </c>
      <c r="C53" s="587" t="str">
        <f>IF('Octavos de Final'!F15&lt;&gt;"",'Octavos de Final'!F15,"")</f>
        <v/>
      </c>
      <c r="D53" s="350"/>
      <c r="E53" s="591" t="str">
        <f>IF('Octavos de Final'!F17&lt;&gt;"",'Octavos de Final'!F17,"")</f>
        <v/>
      </c>
      <c r="F53" s="593" t="str">
        <f>'Octavos de Final'!E17</f>
        <v>2do Grupo A</v>
      </c>
      <c r="G53" s="354"/>
      <c r="H53" s="348"/>
      <c r="I53" s="358"/>
      <c r="J53" s="358"/>
      <c r="K53" s="358"/>
      <c r="L53" s="358"/>
      <c r="M53" s="358"/>
      <c r="N53" s="348"/>
      <c r="O53" s="348"/>
      <c r="P53" s="358"/>
      <c r="Q53" s="358"/>
      <c r="R53" s="358"/>
      <c r="S53" s="358"/>
      <c r="T53" s="358"/>
      <c r="U53" s="356"/>
      <c r="V53" s="360"/>
      <c r="W53" s="581" t="str">
        <f>'3er puesto y FINAL'!E8</f>
        <v>SF1-2</v>
      </c>
      <c r="X53" s="587" t="str">
        <f>IF('3er puesto y FINAL'!F8&lt;&gt;"",'3er puesto y FINAL'!F8,"")</f>
        <v/>
      </c>
      <c r="Y53" s="352"/>
      <c r="Z53" s="587" t="str">
        <f>IF('3er puesto y FINAL'!F10&lt;&gt;"",'3er puesto y FINAL'!F10,"")</f>
        <v/>
      </c>
      <c r="AA53" s="585" t="str">
        <f>'3er puesto y FINAL'!E10</f>
        <v>SF2-2</v>
      </c>
      <c r="AB53" s="348"/>
      <c r="AC53" s="348"/>
      <c r="AD53" s="348"/>
      <c r="AE53" s="348"/>
      <c r="AF53" s="348"/>
    </row>
    <row r="54" spans="1:32" ht="6" customHeight="1" x14ac:dyDescent="0.25">
      <c r="A54" s="348"/>
      <c r="B54" s="582"/>
      <c r="C54" s="588"/>
      <c r="D54" s="350"/>
      <c r="E54" s="592"/>
      <c r="F54" s="594"/>
      <c r="G54" s="355"/>
      <c r="H54" s="348"/>
      <c r="I54" s="358"/>
      <c r="J54" s="358"/>
      <c r="K54" s="358"/>
      <c r="L54" s="358"/>
      <c r="M54" s="358"/>
      <c r="N54" s="348"/>
      <c r="O54" s="348"/>
      <c r="P54" s="358"/>
      <c r="Q54" s="358"/>
      <c r="R54" s="358"/>
      <c r="S54" s="358"/>
      <c r="T54" s="358"/>
      <c r="U54" s="356"/>
      <c r="V54" s="348"/>
      <c r="W54" s="582"/>
      <c r="X54" s="588"/>
      <c r="Y54" s="352"/>
      <c r="Z54" s="588"/>
      <c r="AA54" s="586"/>
      <c r="AB54" s="348"/>
      <c r="AC54" s="348"/>
      <c r="AD54" s="348"/>
      <c r="AE54" s="348"/>
      <c r="AF54" s="348"/>
    </row>
    <row r="55" spans="1:32" ht="6" customHeight="1" x14ac:dyDescent="0.25">
      <c r="A55" s="348"/>
      <c r="B55" s="350"/>
      <c r="C55" s="348"/>
      <c r="D55" s="348"/>
      <c r="E55" s="348"/>
      <c r="F55" s="350"/>
      <c r="G55" s="356"/>
      <c r="H55" s="354"/>
      <c r="I55" s="581" t="str">
        <f>'Cuartos de Final'!E15</f>
        <v>OF3</v>
      </c>
      <c r="J55" s="587" t="str">
        <f>IF('Cuartos de Final'!F15&lt;&gt;"",'Cuartos de Final'!F15,"")</f>
        <v/>
      </c>
      <c r="K55" s="352"/>
      <c r="L55" s="587" t="str">
        <f>IF('Cuartos de Final'!F17&lt;&gt;"",'Cuartos de Final'!F17,"")</f>
        <v/>
      </c>
      <c r="M55" s="585" t="str">
        <f>'Cuartos de Final'!E17</f>
        <v>OF4</v>
      </c>
      <c r="N55" s="354"/>
      <c r="O55" s="348"/>
      <c r="P55" s="358"/>
      <c r="Q55" s="358"/>
      <c r="R55" s="358"/>
      <c r="S55" s="358"/>
      <c r="T55" s="358"/>
      <c r="U55" s="356"/>
      <c r="V55" s="348"/>
      <c r="W55" s="348"/>
      <c r="X55" s="348"/>
      <c r="Y55" s="348"/>
      <c r="Z55" s="348"/>
      <c r="AA55" s="348"/>
      <c r="AB55" s="348"/>
      <c r="AC55" s="348"/>
      <c r="AD55" s="348"/>
      <c r="AE55" s="348"/>
      <c r="AF55" s="348"/>
    </row>
    <row r="56" spans="1:32" ht="6" customHeight="1" x14ac:dyDescent="0.25">
      <c r="A56" s="348"/>
      <c r="B56" s="350"/>
      <c r="C56" s="348"/>
      <c r="D56" s="348"/>
      <c r="E56" s="348"/>
      <c r="F56" s="350"/>
      <c r="G56" s="356"/>
      <c r="H56" s="348"/>
      <c r="I56" s="582"/>
      <c r="J56" s="588"/>
      <c r="K56" s="352"/>
      <c r="L56" s="588"/>
      <c r="M56" s="586"/>
      <c r="N56" s="355"/>
      <c r="O56" s="348"/>
      <c r="P56" s="358"/>
      <c r="Q56" s="358"/>
      <c r="R56" s="358"/>
      <c r="S56" s="358"/>
      <c r="T56" s="358"/>
      <c r="U56" s="356"/>
      <c r="V56" s="348"/>
      <c r="W56" s="348"/>
      <c r="X56" s="348"/>
      <c r="Y56" s="348"/>
      <c r="Z56" s="348"/>
      <c r="AA56" s="348"/>
      <c r="AB56" s="348"/>
      <c r="AC56" s="348"/>
      <c r="AD56" s="348"/>
      <c r="AE56" s="348"/>
      <c r="AF56" s="348"/>
    </row>
    <row r="57" spans="1:32" ht="12.95" customHeight="1" x14ac:dyDescent="0.25">
      <c r="A57" s="348"/>
      <c r="B57" s="580"/>
      <c r="C57" s="580"/>
      <c r="D57" s="348"/>
      <c r="E57" s="580"/>
      <c r="F57" s="580"/>
      <c r="G57" s="356"/>
      <c r="H57" s="348"/>
      <c r="I57" s="358"/>
      <c r="J57" s="358"/>
      <c r="K57" s="358"/>
      <c r="L57" s="358"/>
      <c r="M57" s="358"/>
      <c r="N57" s="356"/>
      <c r="O57" s="348"/>
      <c r="P57" s="358"/>
      <c r="Q57" s="358"/>
      <c r="R57" s="358"/>
      <c r="S57" s="358"/>
      <c r="T57" s="358"/>
      <c r="U57" s="356"/>
      <c r="V57" s="348"/>
      <c r="W57" s="348"/>
      <c r="X57" s="348"/>
      <c r="Y57" s="348"/>
      <c r="Z57" s="348"/>
      <c r="AA57" s="348"/>
      <c r="AB57" s="348"/>
      <c r="AC57" s="348"/>
      <c r="AD57" s="348"/>
      <c r="AE57" s="348"/>
      <c r="AF57" s="348"/>
    </row>
    <row r="58" spans="1:32" ht="6" customHeight="1" x14ac:dyDescent="0.25">
      <c r="A58" s="348"/>
      <c r="B58" s="581" t="str">
        <f>'Octavos de Final'!E19</f>
        <v>1ero Grupo D</v>
      </c>
      <c r="C58" s="587" t="str">
        <f>IF('Octavos de Final'!F19&lt;&gt;"",'Octavos de Final'!F19,"")</f>
        <v/>
      </c>
      <c r="D58" s="350"/>
      <c r="E58" s="587" t="str">
        <f>IF('Octavos de Final'!F21&lt;&gt;"",'Octavos de Final'!F21,"")</f>
        <v/>
      </c>
      <c r="F58" s="585" t="str">
        <f>'Octavos de Final'!E21</f>
        <v>2do Grupo C</v>
      </c>
      <c r="G58" s="359"/>
      <c r="H58" s="348"/>
      <c r="I58" s="358"/>
      <c r="J58" s="358"/>
      <c r="K58" s="358"/>
      <c r="L58" s="358"/>
      <c r="M58" s="358"/>
      <c r="N58" s="356"/>
      <c r="O58" s="348"/>
      <c r="P58" s="358"/>
      <c r="Q58" s="358"/>
      <c r="R58" s="358"/>
      <c r="S58" s="358"/>
      <c r="T58" s="358"/>
      <c r="U58" s="356"/>
      <c r="V58" s="348"/>
      <c r="W58" s="348"/>
      <c r="X58" s="348"/>
      <c r="Y58" s="348"/>
      <c r="Z58" s="348"/>
      <c r="AA58" s="348"/>
      <c r="AB58" s="348"/>
      <c r="AC58" s="348"/>
      <c r="AD58" s="348"/>
      <c r="AE58" s="348"/>
      <c r="AF58" s="348"/>
    </row>
    <row r="59" spans="1:32" ht="6" customHeight="1" x14ac:dyDescent="0.25">
      <c r="A59" s="348"/>
      <c r="B59" s="582"/>
      <c r="C59" s="588"/>
      <c r="D59" s="350"/>
      <c r="E59" s="588"/>
      <c r="F59" s="586"/>
      <c r="G59" s="348"/>
      <c r="H59" s="348"/>
      <c r="I59" s="358"/>
      <c r="J59" s="358"/>
      <c r="K59" s="358"/>
      <c r="L59" s="358"/>
      <c r="M59" s="358"/>
      <c r="N59" s="356"/>
      <c r="O59" s="348"/>
      <c r="P59" s="358"/>
      <c r="Q59" s="358"/>
      <c r="R59" s="358"/>
      <c r="S59" s="358"/>
      <c r="T59" s="358"/>
      <c r="U59" s="356"/>
      <c r="V59" s="348"/>
      <c r="W59" s="348"/>
      <c r="X59" s="348"/>
      <c r="Y59" s="348"/>
      <c r="Z59" s="362"/>
      <c r="AA59" s="362"/>
      <c r="AB59" s="362"/>
      <c r="AC59" s="362"/>
      <c r="AD59" s="362"/>
      <c r="AE59" s="362"/>
      <c r="AF59" s="348"/>
    </row>
    <row r="60" spans="1:32" ht="6" customHeight="1" x14ac:dyDescent="0.25">
      <c r="A60" s="348"/>
      <c r="B60" s="350"/>
      <c r="C60" s="348"/>
      <c r="D60" s="348"/>
      <c r="E60" s="348"/>
      <c r="F60" s="350"/>
      <c r="G60" s="348"/>
      <c r="H60" s="348"/>
      <c r="I60" s="358"/>
      <c r="J60" s="358"/>
      <c r="K60" s="358"/>
      <c r="L60" s="358"/>
      <c r="M60" s="358"/>
      <c r="N60" s="356"/>
      <c r="O60" s="354"/>
      <c r="P60" s="581" t="str">
        <f>Semifinal!E11</f>
        <v>CF3</v>
      </c>
      <c r="Q60" s="587" t="str">
        <f>IF(Semifinal!F11&lt;&gt;"",Semifinal!F11,"")</f>
        <v/>
      </c>
      <c r="R60" s="352"/>
      <c r="S60" s="587" t="str">
        <f>IF(Semifinal!F13&lt;&gt;"",Semifinal!F13,"")</f>
        <v/>
      </c>
      <c r="T60" s="585" t="str">
        <f>Semifinal!E13</f>
        <v>CF4</v>
      </c>
      <c r="U60" s="359"/>
      <c r="V60" s="348"/>
      <c r="W60" s="348"/>
      <c r="X60" s="348"/>
      <c r="Y60" s="348"/>
      <c r="Z60" s="362"/>
      <c r="AA60" s="589"/>
      <c r="AB60" s="589"/>
      <c r="AC60" s="589"/>
      <c r="AD60" s="589"/>
      <c r="AE60" s="362"/>
      <c r="AF60" s="348"/>
    </row>
    <row r="61" spans="1:32" ht="6" customHeight="1" x14ac:dyDescent="0.25">
      <c r="A61" s="348"/>
      <c r="B61" s="350"/>
      <c r="C61" s="348"/>
      <c r="D61" s="348"/>
      <c r="E61" s="348"/>
      <c r="F61" s="350"/>
      <c r="G61" s="348"/>
      <c r="H61" s="348"/>
      <c r="I61" s="358"/>
      <c r="J61" s="358"/>
      <c r="K61" s="358"/>
      <c r="L61" s="358"/>
      <c r="M61" s="358"/>
      <c r="N61" s="356"/>
      <c r="O61" s="348"/>
      <c r="P61" s="582"/>
      <c r="Q61" s="588"/>
      <c r="R61" s="352"/>
      <c r="S61" s="588"/>
      <c r="T61" s="586"/>
      <c r="U61" s="348"/>
      <c r="V61" s="348"/>
      <c r="W61" s="348"/>
      <c r="X61" s="348"/>
      <c r="Y61" s="348"/>
      <c r="Z61" s="362"/>
      <c r="AA61" s="589"/>
      <c r="AB61" s="589"/>
      <c r="AC61" s="589"/>
      <c r="AD61" s="589"/>
      <c r="AE61" s="362"/>
      <c r="AF61" s="348"/>
    </row>
    <row r="62" spans="1:32" ht="12.95" customHeight="1" x14ac:dyDescent="0.25">
      <c r="A62" s="348"/>
      <c r="B62" s="580"/>
      <c r="C62" s="580"/>
      <c r="D62" s="348"/>
      <c r="E62" s="580"/>
      <c r="F62" s="580"/>
      <c r="G62" s="348"/>
      <c r="H62" s="348"/>
      <c r="I62" s="358"/>
      <c r="J62" s="358"/>
      <c r="K62" s="358"/>
      <c r="L62" s="358"/>
      <c r="M62" s="358"/>
      <c r="N62" s="356"/>
      <c r="O62" s="348"/>
      <c r="P62" s="348"/>
      <c r="Q62" s="348"/>
      <c r="R62" s="348"/>
      <c r="S62" s="348"/>
      <c r="T62" s="348"/>
      <c r="U62" s="348"/>
      <c r="V62" s="348"/>
      <c r="W62" s="348"/>
      <c r="X62" s="348"/>
      <c r="Y62" s="348"/>
      <c r="Z62" s="362"/>
      <c r="AA62" s="362"/>
      <c r="AB62" s="362"/>
      <c r="AC62" s="362"/>
      <c r="AD62" s="362"/>
      <c r="AE62" s="362"/>
      <c r="AF62" s="348"/>
    </row>
    <row r="63" spans="1:32" ht="6" customHeight="1" x14ac:dyDescent="0.25">
      <c r="A63" s="348"/>
      <c r="B63" s="581" t="str">
        <f>'Octavos de Final'!E31</f>
        <v>1ero Grupo F</v>
      </c>
      <c r="C63" s="587" t="str">
        <f>IF('Octavos de Final'!F31&lt;&gt;"",'Octavos de Final'!F31,"")</f>
        <v/>
      </c>
      <c r="D63" s="350"/>
      <c r="E63" s="587" t="str">
        <f>IF('Octavos de Final'!F33&lt;&gt;"",'Octavos de Final'!F33,"")</f>
        <v/>
      </c>
      <c r="F63" s="585" t="str">
        <f>'Octavos de Final'!E33</f>
        <v>2do Grupo E</v>
      </c>
      <c r="G63" s="354"/>
      <c r="H63" s="348"/>
      <c r="I63" s="358"/>
      <c r="J63" s="358"/>
      <c r="K63" s="358"/>
      <c r="L63" s="358"/>
      <c r="M63" s="358"/>
      <c r="N63" s="356"/>
      <c r="O63" s="348"/>
      <c r="P63" s="348"/>
      <c r="Q63" s="348"/>
      <c r="R63" s="348"/>
      <c r="S63" s="348"/>
      <c r="T63" s="348"/>
      <c r="U63" s="348"/>
      <c r="V63" s="348"/>
      <c r="W63" s="348"/>
      <c r="X63" s="348"/>
      <c r="Y63" s="348"/>
      <c r="Z63" s="348"/>
      <c r="AA63" s="590" t="s">
        <v>41</v>
      </c>
      <c r="AB63" s="590"/>
      <c r="AC63" s="590"/>
      <c r="AD63" s="590"/>
      <c r="AE63" s="348"/>
      <c r="AF63" s="348"/>
    </row>
    <row r="64" spans="1:32" ht="6" customHeight="1" x14ac:dyDescent="0.25">
      <c r="A64" s="348"/>
      <c r="B64" s="582"/>
      <c r="C64" s="588"/>
      <c r="D64" s="350"/>
      <c r="E64" s="588"/>
      <c r="F64" s="586"/>
      <c r="G64" s="355"/>
      <c r="H64" s="348"/>
      <c r="I64" s="358"/>
      <c r="J64" s="358"/>
      <c r="K64" s="358"/>
      <c r="L64" s="358"/>
      <c r="M64" s="358"/>
      <c r="N64" s="356"/>
      <c r="O64" s="348"/>
      <c r="P64" s="348"/>
      <c r="Q64" s="348"/>
      <c r="R64" s="348"/>
      <c r="S64" s="348"/>
      <c r="T64" s="348"/>
      <c r="U64" s="348"/>
      <c r="V64" s="348"/>
      <c r="W64" s="348"/>
      <c r="X64" s="348"/>
      <c r="Y64" s="348"/>
      <c r="Z64" s="348"/>
      <c r="AA64" s="590"/>
      <c r="AB64" s="590"/>
      <c r="AC64" s="590"/>
      <c r="AD64" s="590"/>
      <c r="AE64" s="348"/>
      <c r="AF64" s="348"/>
    </row>
    <row r="65" spans="1:32" ht="6" customHeight="1" x14ac:dyDescent="0.25">
      <c r="A65" s="348"/>
      <c r="B65" s="350"/>
      <c r="C65" s="348"/>
      <c r="D65" s="348"/>
      <c r="E65" s="348"/>
      <c r="F65" s="350"/>
      <c r="G65" s="356"/>
      <c r="H65" s="354"/>
      <c r="I65" s="581" t="str">
        <f>'Cuartos de Final'!E19</f>
        <v>OF7</v>
      </c>
      <c r="J65" s="587" t="str">
        <f>IF('Cuartos de Final'!F19&lt;&gt;"",'Cuartos de Final'!F19,"")</f>
        <v/>
      </c>
      <c r="K65" s="352"/>
      <c r="L65" s="587" t="str">
        <f>IF('Cuartos de Final'!F21&lt;&gt;"",'Cuartos de Final'!F21,"")</f>
        <v/>
      </c>
      <c r="M65" s="585" t="str">
        <f>'Cuartos de Final'!E21</f>
        <v>OF8</v>
      </c>
      <c r="N65" s="359"/>
      <c r="O65" s="348"/>
      <c r="P65" s="348"/>
      <c r="Q65" s="348"/>
      <c r="R65" s="348"/>
      <c r="S65" s="348"/>
      <c r="T65" s="348"/>
      <c r="U65" s="348"/>
      <c r="V65" s="348"/>
      <c r="W65" s="348"/>
      <c r="X65" s="348"/>
      <c r="Y65" s="348"/>
      <c r="Z65" s="348"/>
      <c r="AA65" s="348"/>
      <c r="AB65" s="348"/>
      <c r="AC65" s="348"/>
      <c r="AD65" s="348"/>
      <c r="AE65" s="348"/>
      <c r="AF65" s="348"/>
    </row>
    <row r="66" spans="1:32" ht="6" customHeight="1" x14ac:dyDescent="0.25">
      <c r="A66" s="348"/>
      <c r="B66" s="350"/>
      <c r="C66" s="348"/>
      <c r="D66" s="348"/>
      <c r="E66" s="348"/>
      <c r="F66" s="350"/>
      <c r="G66" s="356"/>
      <c r="H66" s="348"/>
      <c r="I66" s="582"/>
      <c r="J66" s="588"/>
      <c r="K66" s="352"/>
      <c r="L66" s="588"/>
      <c r="M66" s="586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8"/>
      <c r="Z66" s="348"/>
      <c r="AA66" s="348"/>
      <c r="AB66" s="348"/>
      <c r="AC66" s="348"/>
      <c r="AD66" s="348"/>
      <c r="AE66" s="348"/>
      <c r="AF66" s="348"/>
    </row>
    <row r="67" spans="1:32" ht="12.95" customHeight="1" x14ac:dyDescent="0.25">
      <c r="A67" s="348"/>
      <c r="B67" s="580"/>
      <c r="C67" s="580"/>
      <c r="D67" s="348"/>
      <c r="E67" s="580"/>
      <c r="F67" s="580"/>
      <c r="G67" s="356"/>
      <c r="H67" s="348"/>
      <c r="I67" s="348"/>
      <c r="J67" s="348"/>
      <c r="K67" s="348"/>
      <c r="L67" s="348"/>
      <c r="M67" s="348"/>
      <c r="N67" s="348"/>
      <c r="O67" s="348"/>
      <c r="P67" s="348"/>
      <c r="Q67" s="348"/>
      <c r="R67" s="348"/>
      <c r="S67" s="348"/>
      <c r="T67" s="348"/>
      <c r="U67" s="348"/>
      <c r="V67" s="348"/>
      <c r="W67" s="348"/>
      <c r="X67" s="348"/>
      <c r="Y67" s="348"/>
      <c r="Z67" s="348"/>
      <c r="AA67" s="348"/>
      <c r="AB67" s="348"/>
      <c r="AC67" s="348"/>
      <c r="AD67" s="348"/>
      <c r="AE67" s="348"/>
      <c r="AF67" s="348"/>
    </row>
    <row r="68" spans="1:32" ht="6" customHeight="1" x14ac:dyDescent="0.25">
      <c r="A68" s="347"/>
      <c r="B68" s="581" t="str">
        <f>'Octavos de Final'!E35</f>
        <v>1ero Grupo H</v>
      </c>
      <c r="C68" s="583" t="str">
        <f>IF('Octavos de Final'!F35&lt;&gt;"",'Octavos de Final'!F35,"")</f>
        <v/>
      </c>
      <c r="D68" s="363"/>
      <c r="E68" s="583" t="str">
        <f>IF('Octavos de Final'!F37&lt;&gt;"",'Octavos de Final'!F37,"")</f>
        <v/>
      </c>
      <c r="F68" s="585" t="str">
        <f>'Octavos de Final'!E37</f>
        <v>2do Grupo G</v>
      </c>
      <c r="G68" s="364"/>
      <c r="H68" s="347"/>
      <c r="I68" s="347"/>
      <c r="J68" s="347"/>
      <c r="K68" s="347"/>
      <c r="L68" s="347"/>
      <c r="M68" s="347"/>
      <c r="N68" s="347"/>
      <c r="O68" s="347"/>
      <c r="P68" s="347"/>
      <c r="Q68" s="347"/>
      <c r="R68" s="347"/>
      <c r="S68" s="347"/>
      <c r="T68" s="347"/>
      <c r="U68" s="347"/>
      <c r="V68" s="347"/>
      <c r="W68" s="347"/>
      <c r="X68" s="347"/>
      <c r="Y68" s="347"/>
      <c r="Z68" s="347"/>
      <c r="AA68" s="347"/>
      <c r="AB68" s="347"/>
      <c r="AC68" s="347"/>
      <c r="AD68" s="347"/>
      <c r="AE68" s="347"/>
      <c r="AF68" s="347"/>
    </row>
    <row r="69" spans="1:32" ht="6" customHeight="1" x14ac:dyDescent="0.25">
      <c r="A69" s="347"/>
      <c r="B69" s="582"/>
      <c r="C69" s="584"/>
      <c r="D69" s="363"/>
      <c r="E69" s="584"/>
      <c r="F69" s="586"/>
      <c r="G69" s="347"/>
      <c r="H69" s="347"/>
      <c r="I69" s="347"/>
      <c r="J69" s="347"/>
      <c r="K69" s="347"/>
      <c r="L69" s="347"/>
      <c r="M69" s="347"/>
      <c r="N69" s="347"/>
      <c r="O69" s="347"/>
      <c r="P69" s="347"/>
      <c r="Q69" s="347"/>
      <c r="R69" s="347"/>
      <c r="S69" s="347"/>
      <c r="T69" s="347"/>
      <c r="U69" s="347"/>
      <c r="V69" s="347"/>
      <c r="W69" s="347"/>
      <c r="X69" s="347"/>
      <c r="Y69" s="347"/>
      <c r="Z69" s="347"/>
      <c r="AA69" s="347"/>
      <c r="AB69" s="347"/>
      <c r="AC69" s="347"/>
      <c r="AD69" s="347"/>
      <c r="AE69" s="347"/>
      <c r="AF69" s="347"/>
    </row>
    <row r="70" spans="1:32" ht="12.95" customHeight="1" x14ac:dyDescent="0.25">
      <c r="A70" s="347"/>
      <c r="B70" s="347"/>
      <c r="C70" s="347"/>
      <c r="D70" s="347"/>
      <c r="E70" s="347"/>
      <c r="F70" s="347"/>
      <c r="G70" s="347"/>
      <c r="H70" s="347"/>
      <c r="I70" s="347"/>
      <c r="J70" s="347"/>
      <c r="K70" s="347"/>
      <c r="L70" s="347"/>
      <c r="M70" s="347"/>
      <c r="N70" s="347"/>
      <c r="O70" s="347"/>
      <c r="P70" s="347"/>
      <c r="Q70" s="347"/>
      <c r="R70" s="347"/>
      <c r="S70" s="347"/>
      <c r="T70" s="347"/>
      <c r="U70" s="347"/>
      <c r="V70" s="347"/>
      <c r="W70" s="347"/>
      <c r="X70" s="347"/>
      <c r="Y70" s="347"/>
      <c r="Z70" s="347"/>
      <c r="AA70" s="347"/>
      <c r="AB70" s="347"/>
      <c r="AC70" s="347"/>
      <c r="AD70" s="347"/>
      <c r="AE70" s="347"/>
      <c r="AF70" s="347"/>
    </row>
    <row r="71" spans="1:32" ht="12.95" customHeight="1" x14ac:dyDescent="0.25">
      <c r="A71" s="347"/>
      <c r="B71" s="347"/>
      <c r="C71" s="347"/>
      <c r="D71" s="347"/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</row>
    <row r="72" spans="1:32" ht="12.95" customHeight="1" x14ac:dyDescent="0.25">
      <c r="A72" s="347"/>
      <c r="B72" s="347"/>
      <c r="C72" s="347"/>
      <c r="D72" s="347"/>
      <c r="E72" s="347"/>
      <c r="F72" s="347"/>
      <c r="G72" s="347"/>
      <c r="H72" s="347"/>
      <c r="I72" s="347"/>
      <c r="J72" s="347"/>
      <c r="K72" s="347"/>
      <c r="L72" s="347"/>
      <c r="M72" s="347"/>
      <c r="N72" s="347"/>
      <c r="O72" s="347"/>
      <c r="P72" s="347"/>
      <c r="Q72" s="347"/>
      <c r="R72" s="347"/>
      <c r="S72" s="347"/>
      <c r="T72" s="347"/>
      <c r="U72" s="347"/>
      <c r="V72" s="347"/>
      <c r="W72" s="347"/>
      <c r="X72" s="347"/>
      <c r="Y72" s="347"/>
      <c r="Z72" s="347"/>
      <c r="AA72" s="347"/>
      <c r="AB72" s="347"/>
      <c r="AC72" s="347"/>
      <c r="AD72" s="347"/>
      <c r="AE72" s="347"/>
      <c r="AF72" s="347"/>
    </row>
    <row r="73" spans="1:32" ht="12.95" customHeight="1" x14ac:dyDescent="0.25">
      <c r="A73" s="347"/>
      <c r="B73" s="347"/>
      <c r="C73" s="347"/>
      <c r="D73" s="347"/>
      <c r="E73" s="347"/>
      <c r="F73" s="347"/>
      <c r="G73" s="347"/>
      <c r="H73" s="347"/>
      <c r="I73" s="347"/>
      <c r="J73" s="347"/>
      <c r="K73" s="347"/>
      <c r="L73" s="347"/>
      <c r="M73" s="347"/>
      <c r="N73" s="347"/>
      <c r="O73" s="347"/>
      <c r="P73" s="347"/>
      <c r="Q73" s="347"/>
      <c r="R73" s="347"/>
      <c r="S73" s="347"/>
      <c r="T73" s="347"/>
      <c r="U73" s="347"/>
      <c r="V73" s="347"/>
      <c r="W73" s="347"/>
      <c r="X73" s="347"/>
      <c r="Y73" s="347"/>
      <c r="Z73" s="347"/>
      <c r="AA73" s="347"/>
      <c r="AB73" s="347"/>
      <c r="AC73" s="347"/>
      <c r="AD73" s="347"/>
      <c r="AE73" s="347"/>
      <c r="AF73" s="347"/>
    </row>
    <row r="74" spans="1:32" ht="12.95" customHeight="1" x14ac:dyDescent="0.25">
      <c r="A74" s="347"/>
      <c r="B74" s="347"/>
      <c r="C74" s="347"/>
      <c r="D74" s="347"/>
      <c r="E74" s="347"/>
      <c r="F74" s="347"/>
      <c r="G74" s="347"/>
      <c r="H74" s="347"/>
      <c r="I74" s="347"/>
      <c r="J74" s="347"/>
      <c r="K74" s="347"/>
      <c r="L74" s="347"/>
      <c r="M74" s="347"/>
      <c r="N74" s="347"/>
      <c r="O74" s="347"/>
      <c r="P74" s="347"/>
      <c r="Q74" s="347"/>
      <c r="R74" s="347"/>
      <c r="S74" s="347"/>
      <c r="T74" s="347"/>
      <c r="U74" s="347"/>
      <c r="V74" s="347"/>
      <c r="W74" s="347"/>
      <c r="X74" s="347"/>
      <c r="Y74" s="347"/>
      <c r="Z74" s="347"/>
      <c r="AA74" s="347"/>
      <c r="AB74" s="347"/>
      <c r="AC74" s="347"/>
      <c r="AD74" s="347"/>
      <c r="AE74" s="347"/>
      <c r="AF74" s="347"/>
    </row>
    <row r="75" spans="1:32" ht="12.95" customHeight="1" x14ac:dyDescent="0.25">
      <c r="A75" s="347"/>
      <c r="B75" s="347"/>
      <c r="C75" s="347"/>
      <c r="D75" s="347"/>
      <c r="E75" s="347"/>
      <c r="F75" s="347"/>
      <c r="G75" s="347"/>
      <c r="H75" s="347"/>
      <c r="I75" s="347"/>
      <c r="J75" s="347"/>
      <c r="K75" s="347"/>
      <c r="L75" s="347"/>
      <c r="M75" s="347"/>
      <c r="N75" s="347"/>
      <c r="O75" s="347"/>
      <c r="P75" s="347"/>
      <c r="Q75" s="347"/>
      <c r="R75" s="347"/>
      <c r="S75" s="347"/>
      <c r="T75" s="347"/>
      <c r="U75" s="347"/>
      <c r="V75" s="347"/>
      <c r="W75" s="347"/>
      <c r="X75" s="347"/>
      <c r="Y75" s="347"/>
      <c r="Z75" s="347"/>
      <c r="AA75" s="347"/>
      <c r="AB75" s="347"/>
      <c r="AC75" s="347"/>
      <c r="AD75" s="347"/>
      <c r="AE75" s="347"/>
      <c r="AF75" s="347"/>
    </row>
    <row r="76" spans="1:32" ht="12.95" customHeight="1" x14ac:dyDescent="0.25">
      <c r="A76" s="347"/>
      <c r="B76" s="347"/>
      <c r="C76" s="347"/>
      <c r="D76" s="347"/>
      <c r="E76" s="347"/>
      <c r="F76" s="347"/>
      <c r="G76" s="347"/>
      <c r="H76" s="347"/>
      <c r="I76" s="347"/>
      <c r="J76" s="347"/>
      <c r="K76" s="347"/>
      <c r="L76" s="347"/>
      <c r="M76" s="347"/>
      <c r="N76" s="347"/>
      <c r="O76" s="347"/>
      <c r="P76" s="347"/>
      <c r="Q76" s="347"/>
      <c r="R76" s="347"/>
      <c r="S76" s="347"/>
      <c r="T76" s="347"/>
      <c r="U76" s="347"/>
      <c r="V76" s="347"/>
      <c r="W76" s="347"/>
      <c r="X76" s="347"/>
      <c r="Y76" s="347"/>
      <c r="Z76" s="347"/>
      <c r="AA76" s="347"/>
      <c r="AB76" s="347"/>
      <c r="AC76" s="347"/>
      <c r="AD76" s="347"/>
      <c r="AE76" s="347"/>
      <c r="AF76" s="347"/>
    </row>
    <row r="77" spans="1:32" ht="12.95" customHeight="1" x14ac:dyDescent="0.25"/>
    <row r="78" spans="1:32" ht="12.95" customHeight="1" x14ac:dyDescent="0.25"/>
    <row r="79" spans="1:32" ht="12.95" customHeight="1" x14ac:dyDescent="0.25"/>
    <row r="80" spans="1:32" ht="12.95" customHeight="1" x14ac:dyDescent="0.25"/>
    <row r="81" ht="12.95" customHeight="1" x14ac:dyDescent="0.25"/>
    <row r="82" ht="12.95" customHeight="1" x14ac:dyDescent="0.25"/>
    <row r="83" ht="12.95" customHeight="1" x14ac:dyDescent="0.25"/>
    <row r="84" ht="12.95" customHeight="1" x14ac:dyDescent="0.25"/>
    <row r="85" ht="12.95" customHeight="1" x14ac:dyDescent="0.25"/>
    <row r="86" ht="12.95" customHeight="1" x14ac:dyDescent="0.25"/>
    <row r="87" ht="12.95" customHeight="1" x14ac:dyDescent="0.25"/>
    <row r="88" ht="12.95" customHeight="1" x14ac:dyDescent="0.25"/>
    <row r="89" ht="12.95" customHeight="1" x14ac:dyDescent="0.25"/>
    <row r="90" ht="12.95" customHeight="1" x14ac:dyDescent="0.25"/>
    <row r="91" ht="12.95" customHeight="1" x14ac:dyDescent="0.25"/>
    <row r="92" ht="12.95" customHeight="1" x14ac:dyDescent="0.25"/>
    <row r="93" ht="12.95" customHeight="1" x14ac:dyDescent="0.25"/>
    <row r="94" ht="12.95" customHeight="1" x14ac:dyDescent="0.25"/>
    <row r="95" ht="12.95" customHeight="1" x14ac:dyDescent="0.25"/>
    <row r="96" ht="12.95" customHeight="1" x14ac:dyDescent="0.25"/>
    <row r="97" ht="12.95" customHeight="1" x14ac:dyDescent="0.25"/>
    <row r="98" ht="12.95" customHeight="1" x14ac:dyDescent="0.25"/>
    <row r="99" ht="12.95" customHeight="1" x14ac:dyDescent="0.25"/>
    <row r="100" ht="12.95" customHeight="1" x14ac:dyDescent="0.25"/>
    <row r="101" ht="12.95" customHeight="1" x14ac:dyDescent="0.25"/>
    <row r="102" ht="12.95" customHeight="1" x14ac:dyDescent="0.25"/>
    <row r="103" ht="12.95" customHeight="1" x14ac:dyDescent="0.25"/>
    <row r="104" ht="12.95" customHeight="1" x14ac:dyDescent="0.25"/>
    <row r="105" ht="12.95" customHeight="1" x14ac:dyDescent="0.25"/>
    <row r="106" ht="12.95" customHeight="1" x14ac:dyDescent="0.25"/>
    <row r="107" ht="12.95" customHeight="1" x14ac:dyDescent="0.25"/>
    <row r="108" ht="12.95" customHeight="1" x14ac:dyDescent="0.25"/>
    <row r="109" ht="12.95" customHeight="1" x14ac:dyDescent="0.25"/>
    <row r="110" ht="12.95" customHeight="1" x14ac:dyDescent="0.25"/>
    <row r="111" ht="12.95" customHeight="1" x14ac:dyDescent="0.25"/>
    <row r="112" ht="12.95" customHeight="1" x14ac:dyDescent="0.25"/>
    <row r="113" ht="12.95" customHeight="1" x14ac:dyDescent="0.25"/>
    <row r="114" ht="12.95" customHeight="1" x14ac:dyDescent="0.25"/>
    <row r="115" ht="12.95" customHeight="1" x14ac:dyDescent="0.25"/>
    <row r="116" ht="12.95" customHeight="1" x14ac:dyDescent="0.25"/>
    <row r="117" ht="12.95" customHeight="1" x14ac:dyDescent="0.25"/>
    <row r="118" ht="12.95" customHeight="1" x14ac:dyDescent="0.25"/>
    <row r="119" ht="12.95" customHeight="1" x14ac:dyDescent="0.25"/>
    <row r="120" ht="12.95" customHeight="1" x14ac:dyDescent="0.25"/>
  </sheetData>
  <mergeCells count="98">
    <mergeCell ref="P16:T16"/>
    <mergeCell ref="W16:AA16"/>
    <mergeCell ref="B2:F2"/>
    <mergeCell ref="I2:M2"/>
    <mergeCell ref="P2:T2"/>
    <mergeCell ref="W2:AA2"/>
    <mergeCell ref="B30:F30"/>
    <mergeCell ref="B32:C32"/>
    <mergeCell ref="E32:F32"/>
    <mergeCell ref="I32:M32"/>
    <mergeCell ref="B16:F16"/>
    <mergeCell ref="I16:M16"/>
    <mergeCell ref="B33:B34"/>
    <mergeCell ref="C33:C34"/>
    <mergeCell ref="E33:E34"/>
    <mergeCell ref="F33:F34"/>
    <mergeCell ref="P40:P41"/>
    <mergeCell ref="F38:F39"/>
    <mergeCell ref="I35:I36"/>
    <mergeCell ref="J35:J36"/>
    <mergeCell ref="L35:L36"/>
    <mergeCell ref="M35:M36"/>
    <mergeCell ref="Q40:Q41"/>
    <mergeCell ref="S40:S41"/>
    <mergeCell ref="T40:T41"/>
    <mergeCell ref="B37:C37"/>
    <mergeCell ref="E37:F37"/>
    <mergeCell ref="P37:T37"/>
    <mergeCell ref="B38:B39"/>
    <mergeCell ref="C38:C39"/>
    <mergeCell ref="E38:E39"/>
    <mergeCell ref="AC48:AD49"/>
    <mergeCell ref="M45:M46"/>
    <mergeCell ref="B42:C42"/>
    <mergeCell ref="E42:F42"/>
    <mergeCell ref="B43:B44"/>
    <mergeCell ref="C43:C44"/>
    <mergeCell ref="E43:E44"/>
    <mergeCell ref="F43:F44"/>
    <mergeCell ref="W45:AA46"/>
    <mergeCell ref="AC45:AD46"/>
    <mergeCell ref="B47:C47"/>
    <mergeCell ref="E47:F47"/>
    <mergeCell ref="AC47:AD47"/>
    <mergeCell ref="I45:I46"/>
    <mergeCell ref="J45:J46"/>
    <mergeCell ref="L45:L46"/>
    <mergeCell ref="W51:AA51"/>
    <mergeCell ref="B52:C52"/>
    <mergeCell ref="E52:F52"/>
    <mergeCell ref="W48:W49"/>
    <mergeCell ref="X48:X49"/>
    <mergeCell ref="Z48:Z49"/>
    <mergeCell ref="AA48:AA49"/>
    <mergeCell ref="B48:B49"/>
    <mergeCell ref="C48:C49"/>
    <mergeCell ref="E48:E49"/>
    <mergeCell ref="F48:F49"/>
    <mergeCell ref="Z53:Z54"/>
    <mergeCell ref="AA53:AA54"/>
    <mergeCell ref="B53:B54"/>
    <mergeCell ref="C53:C54"/>
    <mergeCell ref="E53:E54"/>
    <mergeCell ref="F53:F54"/>
    <mergeCell ref="X53:X54"/>
    <mergeCell ref="I55:I56"/>
    <mergeCell ref="J55:J56"/>
    <mergeCell ref="L55:L56"/>
    <mergeCell ref="M55:M56"/>
    <mergeCell ref="W53:W54"/>
    <mergeCell ref="B57:C57"/>
    <mergeCell ref="E57:F57"/>
    <mergeCell ref="B58:B59"/>
    <mergeCell ref="C58:C59"/>
    <mergeCell ref="E58:E59"/>
    <mergeCell ref="F58:F59"/>
    <mergeCell ref="I65:I66"/>
    <mergeCell ref="J65:J66"/>
    <mergeCell ref="L65:L66"/>
    <mergeCell ref="M65:M66"/>
    <mergeCell ref="AA60:AD61"/>
    <mergeCell ref="AA63:AD64"/>
    <mergeCell ref="P60:P61"/>
    <mergeCell ref="Q60:Q61"/>
    <mergeCell ref="S60:S61"/>
    <mergeCell ref="T60:T61"/>
    <mergeCell ref="B62:C62"/>
    <mergeCell ref="E62:F62"/>
    <mergeCell ref="B63:B64"/>
    <mergeCell ref="C63:C64"/>
    <mergeCell ref="E63:E64"/>
    <mergeCell ref="F63:F64"/>
    <mergeCell ref="B67:C67"/>
    <mergeCell ref="E67:F67"/>
    <mergeCell ref="B68:B69"/>
    <mergeCell ref="C68:C69"/>
    <mergeCell ref="E68:E69"/>
    <mergeCell ref="F68:F69"/>
  </mergeCells>
  <phoneticPr fontId="108" type="noConversion"/>
  <hyperlinks>
    <hyperlink ref="AA63" r:id="rId1" display="www.MundialSudafrica.com"/>
    <hyperlink ref="AA63:AD64" location="Fixture!A1" tooltip="Menu Principal" display="Menu Principal"/>
  </hyperlinks>
  <printOptions horizontalCentered="1" verticalCentered="1"/>
  <pageMargins left="0.19685039370078741" right="0.19685039370078741" top="0.19685039370078741" bottom="0.19685039370078741" header="0.31496062992125984" footer="0.31496062992125984"/>
  <pageSetup scale="82" orientation="landscape" horizontalDpi="0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"/>
  <dimension ref="A1:BA152"/>
  <sheetViews>
    <sheetView workbookViewId="0">
      <selection activeCell="B14" sqref="B14:F15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34" t="s">
        <v>494</v>
      </c>
      <c r="E2" s="634"/>
      <c r="F2" s="634"/>
      <c r="G2" s="634"/>
      <c r="H2" s="634"/>
      <c r="I2" s="634"/>
      <c r="J2" s="245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41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26" t="s">
        <v>496</v>
      </c>
      <c r="E3" s="626"/>
      <c r="F3" s="626"/>
      <c r="G3" s="626"/>
      <c r="H3" s="626"/>
      <c r="I3" s="626"/>
      <c r="J3" s="247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26" t="s">
        <v>497</v>
      </c>
      <c r="E4" s="626"/>
      <c r="F4" s="626"/>
      <c r="G4" s="626"/>
      <c r="H4" s="626"/>
      <c r="I4" s="626"/>
      <c r="J4" s="247">
        <f>AE24+AE34+AE42+AE48+AE55</f>
        <v>0</v>
      </c>
      <c r="K4" s="164"/>
      <c r="L4" s="163"/>
      <c r="M4" s="163"/>
      <c r="N4" s="163"/>
      <c r="O4" s="163"/>
      <c r="P4" s="249" t="s">
        <v>498</v>
      </c>
      <c r="Q4" s="641" t="s">
        <v>577</v>
      </c>
      <c r="R4" s="632"/>
      <c r="S4" s="632"/>
      <c r="T4" s="632"/>
      <c r="U4" s="632"/>
      <c r="V4" s="632"/>
      <c r="W4" s="632"/>
      <c r="X4" s="633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26" t="s">
        <v>499</v>
      </c>
      <c r="E5" s="626"/>
      <c r="F5" s="626"/>
      <c r="G5" s="626"/>
      <c r="H5" s="626"/>
      <c r="I5" s="626"/>
      <c r="J5" s="247">
        <f>AF24+AF34+AF42+AF48+AF55</f>
        <v>0</v>
      </c>
      <c r="K5" s="164"/>
      <c r="L5" s="163"/>
      <c r="M5" s="163"/>
      <c r="N5" s="163"/>
      <c r="O5" s="163"/>
      <c r="P5" s="249" t="s">
        <v>500</v>
      </c>
      <c r="Q5" s="642"/>
      <c r="R5" s="643"/>
      <c r="S5" s="251" t="str">
        <f>IF(Q5&lt;&gt;"","años","")</f>
        <v/>
      </c>
      <c r="T5" s="252"/>
      <c r="U5" s="252"/>
      <c r="V5" s="253"/>
      <c r="W5" s="254"/>
      <c r="X5" s="255"/>
      <c r="Y5" s="248"/>
      <c r="Z5" s="250"/>
      <c r="AA5" s="250"/>
      <c r="AB5" s="630" t="s">
        <v>501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26" t="s">
        <v>502</v>
      </c>
      <c r="E6" s="626"/>
      <c r="F6" s="626"/>
      <c r="G6" s="626"/>
      <c r="H6" s="626"/>
      <c r="I6" s="626"/>
      <c r="J6" s="247">
        <f>AC24+AD24</f>
        <v>0</v>
      </c>
      <c r="K6" s="164"/>
      <c r="L6" s="163"/>
      <c r="M6" s="163"/>
      <c r="N6" s="163"/>
      <c r="O6" s="163"/>
      <c r="P6" s="249" t="s">
        <v>503</v>
      </c>
      <c r="Q6" s="631"/>
      <c r="R6" s="632"/>
      <c r="S6" s="632"/>
      <c r="T6" s="632"/>
      <c r="U6" s="632"/>
      <c r="V6" s="632"/>
      <c r="W6" s="632"/>
      <c r="X6" s="633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26" t="s">
        <v>504</v>
      </c>
      <c r="E7" s="626"/>
      <c r="F7" s="626"/>
      <c r="G7" s="626"/>
      <c r="H7" s="626"/>
      <c r="I7" s="626"/>
      <c r="J7" s="247">
        <f>AC34+AD34</f>
        <v>0</v>
      </c>
      <c r="K7" s="164"/>
      <c r="L7" s="163"/>
      <c r="M7" s="163"/>
      <c r="N7" s="163"/>
      <c r="O7" s="163"/>
      <c r="P7" s="249" t="s">
        <v>505</v>
      </c>
      <c r="Q7" s="631"/>
      <c r="R7" s="632"/>
      <c r="S7" s="632"/>
      <c r="T7" s="632"/>
      <c r="U7" s="632"/>
      <c r="V7" s="632"/>
      <c r="W7" s="632"/>
      <c r="X7" s="633"/>
      <c r="Y7" s="244"/>
      <c r="Z7" s="256"/>
      <c r="AA7" s="256"/>
      <c r="AB7" s="630" t="s">
        <v>506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26" t="s">
        <v>554</v>
      </c>
      <c r="E8" s="626"/>
      <c r="F8" s="626"/>
      <c r="G8" s="626"/>
      <c r="H8" s="626"/>
      <c r="I8" s="626"/>
      <c r="J8" s="247">
        <f>AC42+AD42+AC55+AD55</f>
        <v>0</v>
      </c>
      <c r="K8" s="164"/>
      <c r="L8" s="163"/>
      <c r="M8" s="163"/>
      <c r="N8" s="163"/>
      <c r="O8" s="163"/>
      <c r="P8" s="249" t="s">
        <v>507</v>
      </c>
      <c r="Q8" s="631"/>
      <c r="R8" s="632"/>
      <c r="S8" s="632"/>
      <c r="T8" s="632"/>
      <c r="U8" s="632"/>
      <c r="V8" s="632"/>
      <c r="W8" s="632"/>
      <c r="X8" s="633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26" t="s">
        <v>508</v>
      </c>
      <c r="E9" s="626"/>
      <c r="F9" s="626"/>
      <c r="G9" s="626"/>
      <c r="H9" s="626"/>
      <c r="I9" s="626"/>
      <c r="J9" s="257">
        <f>AC56</f>
        <v>0</v>
      </c>
      <c r="K9" s="164"/>
      <c r="L9" s="163"/>
      <c r="M9" s="163"/>
      <c r="N9" s="163"/>
      <c r="O9" s="163"/>
      <c r="P9" s="258" t="s">
        <v>509</v>
      </c>
      <c r="Q9" s="627"/>
      <c r="R9" s="628"/>
      <c r="S9" s="628"/>
      <c r="T9" s="628"/>
      <c r="U9" s="628"/>
      <c r="V9" s="628"/>
      <c r="W9" s="628"/>
      <c r="X9" s="629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17" t="s">
        <v>510</v>
      </c>
      <c r="E10" s="617"/>
      <c r="F10" s="617"/>
      <c r="G10" s="617"/>
      <c r="H10" s="617"/>
      <c r="I10" s="617"/>
      <c r="J10" s="259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267" t="str">
        <f>'- A -'!B6</f>
        <v>Brasil</v>
      </c>
      <c r="C16" s="268">
        <v>3</v>
      </c>
      <c r="D16" s="269" t="s">
        <v>522</v>
      </c>
      <c r="E16" s="268">
        <v>1</v>
      </c>
      <c r="F16" s="270" t="str">
        <f>'- A -'!F6</f>
        <v>Croacia</v>
      </c>
      <c r="G16" s="271" t="str">
        <f>IF('- A -'!$C$6="","",'- A -'!$C$6)</f>
        <v/>
      </c>
      <c r="H16" s="272" t="s">
        <v>24</v>
      </c>
      <c r="I16" s="271" t="str">
        <f>IF('- A -'!$E$6="","",'- A -'!$E$6)</f>
        <v/>
      </c>
      <c r="J16" s="273">
        <f>IF(AND($C16&lt;&gt;"",$E16&lt;&gt;"",$G16&lt;&gt;"",$I16&lt;&gt;"",OR(AND($C16&gt;$E16,$G16&gt;$I16),AND($C16=$E16,$G16=$I16),AND($C16&lt;$E16,$G16&lt;$I16))),Puntos!$H$10,0)</f>
        <v>0</v>
      </c>
      <c r="K16" s="273">
        <f>IF(AND($C16&lt;&gt;"",$E16&lt;&gt;"",$G16&lt;&gt;"",$I16&lt;&gt;"",AND($C16=$G16,$E16=$I16)),Puntos!$H$11,0)</f>
        <v>0</v>
      </c>
      <c r="L16" s="163"/>
      <c r="M16" s="274" t="str">
        <f>VLOOKUP(B16,tblEquipos,4,FALSE)</f>
        <v>BR</v>
      </c>
      <c r="N16" s="365"/>
      <c r="O16" s="266">
        <v>49</v>
      </c>
      <c r="P16" s="275" t="str">
        <f>Calculos!V4</f>
        <v>Brasil</v>
      </c>
      <c r="Q16" s="276"/>
      <c r="R16" s="277"/>
      <c r="S16" s="278" t="s">
        <v>522</v>
      </c>
      <c r="T16" s="277"/>
      <c r="U16" s="276"/>
      <c r="V16" s="279" t="str">
        <f>Calculos!AA4</f>
        <v>2do Grupo B</v>
      </c>
      <c r="W16" s="280"/>
      <c r="X16" s="281" t="str">
        <f>'Octavos de Final'!E7</f>
        <v>1ero Grupo A</v>
      </c>
      <c r="Y16" s="282" t="str">
        <f>IF('Octavos de Final'!$F7="","",'Octavos de Final'!$F7)</f>
        <v/>
      </c>
      <c r="Z16" s="283" t="s">
        <v>522</v>
      </c>
      <c r="AA16" s="282" t="str">
        <f>IF('Octavos de Final'!$F9="","",'Octavos de Final'!$F9)</f>
        <v/>
      </c>
      <c r="AB16" s="284" t="str">
        <f>'Octavos de Final'!E9</f>
        <v>2do Grupo B</v>
      </c>
      <c r="AC16" s="285">
        <f>IF(OR(Y16="",AA16=""),0,IF(AND(ISERROR(MATCH($X16,$P$16:$P$23,0)),ISERROR(MATCH($X16,$V$16:$V$23,0))),0,Puntos!$H$14))</f>
        <v>0</v>
      </c>
      <c r="AD16" s="285">
        <f>IF(OR(Y16="",AA16=""),0,IF(AND(ISERROR(MATCH($AB16,$P$16:$P$23,0)),ISERROR(MATCH($AB16,$V$16:$V$23,0))),0,Puntos!$H$14))</f>
        <v>0</v>
      </c>
      <c r="AE16" s="285">
        <f>Calculos!AR4*Puntos!$H$12</f>
        <v>0</v>
      </c>
      <c r="AF16" s="285">
        <f>Calculos!AS4*Puntos!$H$13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286" t="str">
        <f>'- A -'!B7</f>
        <v>México</v>
      </c>
      <c r="C17" s="287"/>
      <c r="D17" s="288" t="s">
        <v>522</v>
      </c>
      <c r="E17" s="287"/>
      <c r="F17" s="289" t="str">
        <f>'- A -'!F7</f>
        <v>Camerún</v>
      </c>
      <c r="G17" s="290" t="str">
        <f>IF('- A -'!$C$7="","",'- A -'!$C$7)</f>
        <v/>
      </c>
      <c r="H17" s="291" t="s">
        <v>24</v>
      </c>
      <c r="I17" s="290" t="str">
        <f>IF('- A -'!$E$7="","",'- A -'!$E$7)</f>
        <v/>
      </c>
      <c r="J17" s="292">
        <f>IF(AND($C17&lt;&gt;"",$E17&lt;&gt;"",$G17&lt;&gt;"",$I17&lt;&gt;"",OR(AND($C17&gt;$E17,$G17&gt;$I17),AND($C17=$E17,$G17=$I17),AND($C17&lt;$E17,$G17&lt;$I17))),Puntos!$H$10,0)</f>
        <v>0</v>
      </c>
      <c r="K17" s="292">
        <f>IF(AND($C17&lt;&gt;"",$E17&lt;&gt;"",$G17&lt;&gt;"",$I17&lt;&gt;"",AND($C17=$G17,$E17=$I17)),Puntos!$H$11,0)</f>
        <v>0</v>
      </c>
      <c r="L17" s="163"/>
      <c r="M17" s="274" t="str">
        <f>VLOOKUP(F16,tblEquipos,4,FALSE)</f>
        <v>HR</v>
      </c>
      <c r="N17" s="365"/>
      <c r="O17" s="266">
        <v>50</v>
      </c>
      <c r="P17" s="293" t="str">
        <f>Calculos!V5</f>
        <v>1ero Grupo C</v>
      </c>
      <c r="Q17" s="287"/>
      <c r="R17" s="294"/>
      <c r="S17" s="295" t="s">
        <v>522</v>
      </c>
      <c r="T17" s="294"/>
      <c r="U17" s="287"/>
      <c r="V17" s="296" t="str">
        <f>Calculos!AA5</f>
        <v>2do Grupo D</v>
      </c>
      <c r="W17" s="297"/>
      <c r="X17" s="298" t="str">
        <f>'Octavos de Final'!E11</f>
        <v>1ero Grupo C</v>
      </c>
      <c r="Y17" s="299" t="str">
        <f>IF('Octavos de Final'!$F11="","",'Octavos de Final'!$F11)</f>
        <v/>
      </c>
      <c r="Z17" s="288" t="s">
        <v>522</v>
      </c>
      <c r="AA17" s="299" t="str">
        <f>IF('Octavos de Final'!$F13="","",'Octavos de Final'!$F13)</f>
        <v/>
      </c>
      <c r="AB17" s="300" t="str">
        <f>'Octavos de Final'!E13</f>
        <v>2do Grupo D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Calculos!AR5*Puntos!$H$12</f>
        <v>0</v>
      </c>
      <c r="AF17" s="301">
        <f>Calculos!AS5*Puntos!$H$13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286" t="str">
        <f>'- A -'!B8</f>
        <v>Brasil</v>
      </c>
      <c r="C18" s="287"/>
      <c r="D18" s="302" t="s">
        <v>522</v>
      </c>
      <c r="E18" s="287"/>
      <c r="F18" s="289" t="str">
        <f>'- A -'!F8</f>
        <v>México</v>
      </c>
      <c r="G18" s="290" t="str">
        <f>IF('- A -'!$C$8="","",'- A -'!$C$8)</f>
        <v/>
      </c>
      <c r="H18" s="291" t="s">
        <v>24</v>
      </c>
      <c r="I18" s="290" t="str">
        <f>IF('- A -'!$E$8="","",'- A -'!$E$8)</f>
        <v/>
      </c>
      <c r="J18" s="292">
        <f>IF(AND($C18&lt;&gt;"",$E18&lt;&gt;"",$G18&lt;&gt;"",$I18&lt;&gt;"",OR(AND($C18&gt;$E18,$G18&gt;$I18),AND($C18=$E18,$G18=$I18),AND($C18&lt;$E18,$G18&lt;$I18))),Puntos!$H$10,0)</f>
        <v>0</v>
      </c>
      <c r="K18" s="292">
        <f>IF(AND($C18&lt;&gt;"",$E18&lt;&gt;"",$G18&lt;&gt;"",$I18&lt;&gt;"",AND($C18=$G18,$E18=$I18)),Puntos!$H$11,0)</f>
        <v>0</v>
      </c>
      <c r="L18" s="163"/>
      <c r="M18" s="274" t="str">
        <f>VLOOKUP(B17,tblEquipos,4,FALSE)</f>
        <v>MX</v>
      </c>
      <c r="N18" s="365"/>
      <c r="O18" s="266">
        <v>51</v>
      </c>
      <c r="P18" s="293" t="str">
        <f>Calculos!V6</f>
        <v>1ero Grupo B</v>
      </c>
      <c r="Q18" s="287"/>
      <c r="R18" s="294"/>
      <c r="S18" s="295" t="s">
        <v>522</v>
      </c>
      <c r="T18" s="294"/>
      <c r="U18" s="287"/>
      <c r="V18" s="296" t="str">
        <f>Calculos!AA6</f>
        <v>2do Grupo A</v>
      </c>
      <c r="W18" s="297"/>
      <c r="X18" s="298" t="str">
        <f>'Octavos de Final'!E15</f>
        <v>1ero Grupo B</v>
      </c>
      <c r="Y18" s="299" t="str">
        <f>IF('Octavos de Final'!$F15="","",'Octavos de Final'!$F15)</f>
        <v/>
      </c>
      <c r="Z18" s="288" t="s">
        <v>522</v>
      </c>
      <c r="AA18" s="299" t="str">
        <f>IF('Octavos de Final'!$F17="","",'Octavos de Final'!$F17)</f>
        <v/>
      </c>
      <c r="AB18" s="300" t="str">
        <f>'Octavos de Final'!E17</f>
        <v>2do Grupo A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Calculos!AR6*Puntos!$H$12</f>
        <v>0</v>
      </c>
      <c r="AF18" s="301">
        <f>Calculos!AS6*Puntos!$H$13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286" t="str">
        <f>'- A -'!B9</f>
        <v>Camerún</v>
      </c>
      <c r="C19" s="287"/>
      <c r="D19" s="302" t="s">
        <v>522</v>
      </c>
      <c r="E19" s="287"/>
      <c r="F19" s="289" t="str">
        <f>'- A -'!F9</f>
        <v>Croacia</v>
      </c>
      <c r="G19" s="290" t="str">
        <f>IF('- A -'!$C$9="","",'- A -'!$C$9)</f>
        <v/>
      </c>
      <c r="H19" s="291" t="s">
        <v>24</v>
      </c>
      <c r="I19" s="290" t="str">
        <f>IF('- A -'!$E$9="","",'- A -'!$E$9)</f>
        <v/>
      </c>
      <c r="J19" s="292">
        <f>IF(AND($C19&lt;&gt;"",$E19&lt;&gt;"",$G19&lt;&gt;"",$I19&lt;&gt;"",OR(AND($C19&gt;$E19,$G19&gt;$I19),AND($C19=$E19,$G19=$I19),AND($C19&lt;$E19,$G19&lt;$I19))),Puntos!$H$10,0)</f>
        <v>0</v>
      </c>
      <c r="K19" s="292">
        <f>IF(AND($C19&lt;&gt;"",$E19&lt;&gt;"",$G19&lt;&gt;"",$I19&lt;&gt;"",AND($C19=$G19,$E19=$I19)),Puntos!$H$11,0)</f>
        <v>0</v>
      </c>
      <c r="L19" s="163"/>
      <c r="M19" s="274" t="str">
        <f>VLOOKUP(F17,tblEquipos,4,FALSE)</f>
        <v>CM</v>
      </c>
      <c r="N19" s="365"/>
      <c r="O19" s="266">
        <v>52</v>
      </c>
      <c r="P19" s="293" t="str">
        <f>Calculos!V7</f>
        <v>1ero Grupo D</v>
      </c>
      <c r="Q19" s="287"/>
      <c r="R19" s="294"/>
      <c r="S19" s="295" t="s">
        <v>522</v>
      </c>
      <c r="T19" s="294"/>
      <c r="U19" s="287"/>
      <c r="V19" s="296" t="str">
        <f>Calculos!AA7</f>
        <v>2do Grupo C</v>
      </c>
      <c r="W19" s="297"/>
      <c r="X19" s="298" t="str">
        <f>'Octavos de Final'!E19</f>
        <v>1ero Grupo D</v>
      </c>
      <c r="Y19" s="299" t="str">
        <f>IF('Octavos de Final'!$F19="","",'Octavos de Final'!$F19)</f>
        <v/>
      </c>
      <c r="Z19" s="288" t="s">
        <v>522</v>
      </c>
      <c r="AA19" s="299" t="str">
        <f>IF('Octavos de Final'!$F21="","",'Octavos de Final'!$F21)</f>
        <v/>
      </c>
      <c r="AB19" s="300" t="str">
        <f>'Octavos de Final'!E21</f>
        <v>2do Grupo C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Calculos!AR7*Puntos!$H$12</f>
        <v>0</v>
      </c>
      <c r="AF19" s="301">
        <f>Calculos!AS7*Puntos!$H$13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286" t="str">
        <f>'- A -'!B10</f>
        <v>Croacia</v>
      </c>
      <c r="C20" s="287"/>
      <c r="D20" s="302" t="s">
        <v>522</v>
      </c>
      <c r="E20" s="287"/>
      <c r="F20" s="289" t="str">
        <f>'- A -'!F10</f>
        <v>México</v>
      </c>
      <c r="G20" s="290" t="str">
        <f>IF('- A -'!$C$10="","",'- A -'!$C$10)</f>
        <v/>
      </c>
      <c r="H20" s="291" t="s">
        <v>24</v>
      </c>
      <c r="I20" s="290" t="str">
        <f>IF('- A -'!$E$10="","",'- A -'!$E$10)</f>
        <v/>
      </c>
      <c r="J20" s="292">
        <f>IF(AND($C20&lt;&gt;"",$E20&lt;&gt;"",$G20&lt;&gt;"",$I20&lt;&gt;"",OR(AND($C20&gt;$E20,$G20&gt;$I20),AND($C20=$E20,$G20=$I20),AND($C20&lt;$E20,$G20&lt;$I20))),Puntos!$H$10,0)</f>
        <v>0</v>
      </c>
      <c r="K20" s="292">
        <f>IF(AND($C20&lt;&gt;"",$E20&lt;&gt;"",$G20&lt;&gt;"",$I20&lt;&gt;"",AND($C20=$G20,$E20=$I20)),Puntos!$H$11,0)</f>
        <v>0</v>
      </c>
      <c r="L20" s="163"/>
      <c r="M20" s="163"/>
      <c r="N20" s="163"/>
      <c r="O20" s="266">
        <v>53</v>
      </c>
      <c r="P20" s="293" t="str">
        <f>Calculos!V8</f>
        <v>1ero Grupo E</v>
      </c>
      <c r="Q20" s="287"/>
      <c r="R20" s="294"/>
      <c r="S20" s="295" t="s">
        <v>522</v>
      </c>
      <c r="T20" s="294"/>
      <c r="U20" s="287"/>
      <c r="V20" s="296" t="str">
        <f>Calculos!AA8</f>
        <v>2do Grupo F</v>
      </c>
      <c r="W20" s="297"/>
      <c r="X20" s="298" t="str">
        <f>'Octavos de Final'!E23</f>
        <v>1ero Grupo E</v>
      </c>
      <c r="Y20" s="299" t="str">
        <f>IF('Octavos de Final'!$F23="","",'Octavos de Final'!$F23)</f>
        <v/>
      </c>
      <c r="Z20" s="288" t="s">
        <v>522</v>
      </c>
      <c r="AA20" s="299" t="str">
        <f>IF('Octavos de Final'!$F25="","",'Octavos de Final'!$F25)</f>
        <v/>
      </c>
      <c r="AB20" s="300" t="str">
        <f>'Octavos de Final'!E25</f>
        <v>2do Grupo F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Calculos!AR8*Puntos!$H$12</f>
        <v>0</v>
      </c>
      <c r="AF20" s="301">
        <f>Calculos!AS8*Puntos!$H$13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03" t="str">
        <f>'- A -'!B11</f>
        <v>Camerún</v>
      </c>
      <c r="C21" s="304"/>
      <c r="D21" s="305" t="s">
        <v>522</v>
      </c>
      <c r="E21" s="304"/>
      <c r="F21" s="306" t="str">
        <f>'- A -'!F11</f>
        <v>Brasil</v>
      </c>
      <c r="G21" s="307" t="str">
        <f>IF('- A -'!$C$11="","",'- A -'!$C$11)</f>
        <v/>
      </c>
      <c r="H21" s="308" t="s">
        <v>24</v>
      </c>
      <c r="I21" s="307" t="str">
        <f>IF('- A -'!$E$11="","",'- A -'!$E$11)</f>
        <v/>
      </c>
      <c r="J21" s="309">
        <f>IF(AND($C21&lt;&gt;"",$E21&lt;&gt;"",$G21&lt;&gt;"",$I21&lt;&gt;"",OR(AND($C21&gt;$E21,$G21&gt;$I21),AND($C21=$E21,$G21=$I21),AND($C21&lt;$E21,$G21&lt;$I21))),Puntos!$H$10,0)</f>
        <v>0</v>
      </c>
      <c r="K21" s="309">
        <f>IF(AND($C21&lt;&gt;"",$E21&lt;&gt;"",$G21&lt;&gt;"",$I21&lt;&gt;"",AND($C21=$G21,$E21=$I21)),Puntos!$H$11,0)</f>
        <v>0</v>
      </c>
      <c r="L21" s="163"/>
      <c r="M21" s="163"/>
      <c r="N21" s="163"/>
      <c r="O21" s="266">
        <v>54</v>
      </c>
      <c r="P21" s="293" t="str">
        <f>Calculos!V9</f>
        <v>1ero Grupo G</v>
      </c>
      <c r="Q21" s="287"/>
      <c r="R21" s="294"/>
      <c r="S21" s="295" t="s">
        <v>522</v>
      </c>
      <c r="T21" s="294"/>
      <c r="U21" s="287"/>
      <c r="V21" s="296" t="str">
        <f>Calculos!AA9</f>
        <v>2do Grupo H</v>
      </c>
      <c r="W21" s="297"/>
      <c r="X21" s="298" t="str">
        <f>'Octavos de Final'!E27</f>
        <v>1ero Grupo G</v>
      </c>
      <c r="Y21" s="299" t="str">
        <f>IF('Octavos de Final'!$F27="","",'Octavos de Final'!$F27)</f>
        <v/>
      </c>
      <c r="Z21" s="288" t="s">
        <v>522</v>
      </c>
      <c r="AA21" s="299" t="str">
        <f>IF('Octavos de Final'!$F29="","",'Octavos de Final'!$F29)</f>
        <v/>
      </c>
      <c r="AB21" s="300" t="str">
        <f>'Octavos de Final'!E29</f>
        <v>2do Grupo H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Calculos!AR9*Puntos!$H$12</f>
        <v>0</v>
      </c>
      <c r="AF21" s="301">
        <f>Calculos!AS9*Puntos!$H$13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293" t="str">
        <f>Calculos!V10</f>
        <v>1ero Grupo F</v>
      </c>
      <c r="Q22" s="287"/>
      <c r="R22" s="294"/>
      <c r="S22" s="295" t="s">
        <v>522</v>
      </c>
      <c r="T22" s="294"/>
      <c r="U22" s="287"/>
      <c r="V22" s="296" t="str">
        <f>Calculos!AA10</f>
        <v>2do Grupo E</v>
      </c>
      <c r="W22" s="297"/>
      <c r="X22" s="298" t="str">
        <f>'Octavos de Final'!E31</f>
        <v>1ero Grupo F</v>
      </c>
      <c r="Y22" s="299" t="str">
        <f>IF('Octavos de Final'!$F31="","",'Octavos de Final'!$F31)</f>
        <v/>
      </c>
      <c r="Z22" s="288" t="s">
        <v>522</v>
      </c>
      <c r="AA22" s="299" t="str">
        <f>IF('Octavos de Final'!$F33="","",'Octavos de Final'!$F33)</f>
        <v/>
      </c>
      <c r="AB22" s="300" t="str">
        <f>'Octavos de Final'!E33</f>
        <v>2do Grupo E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Calculos!AR10*Puntos!$H$12</f>
        <v>0</v>
      </c>
      <c r="AF22" s="301">
        <f>Calculos!AS10*Puntos!$H$13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313" t="str">
        <f>Calculos!V11</f>
        <v>1ero Grupo H</v>
      </c>
      <c r="Q23" s="304"/>
      <c r="R23" s="314"/>
      <c r="S23" s="315" t="s">
        <v>522</v>
      </c>
      <c r="T23" s="314"/>
      <c r="U23" s="304"/>
      <c r="V23" s="316" t="str">
        <f>Calculos!AA11</f>
        <v>2do Grupo G</v>
      </c>
      <c r="W23" s="317"/>
      <c r="X23" s="318" t="str">
        <f>'Octavos de Final'!E35</f>
        <v>1ero Grupo H</v>
      </c>
      <c r="Y23" s="319" t="str">
        <f>IF('Octavos de Final'!$F35="","",'Octavos de Final'!$F35)</f>
        <v/>
      </c>
      <c r="Z23" s="320" t="s">
        <v>522</v>
      </c>
      <c r="AA23" s="319" t="str">
        <f>IF('Octavos de Final'!$F37="","",'Octavos de Final'!$F37)</f>
        <v/>
      </c>
      <c r="AB23" s="321" t="str">
        <f>'Octavos de Final'!E37</f>
        <v>2do Grupo G</v>
      </c>
      <c r="AC23" s="322">
        <f>IF(OR(Y23="",AA23=""),0,IF(AND(ISERROR(MATCH($X23,$P$16:$P$23,0)),ISERROR(MATCH($X23,$V$16:$V$23,0))),0,Puntos!$H$14))</f>
        <v>0</v>
      </c>
      <c r="AD23" s="322">
        <f>IF(OR(Y23="",AA23=""),0,IF(AND(ISERROR(MATCH($AB23,$P$16:$P$23,0)),ISERROR(MATCH($AB23,$V$16:$V$23,0))),0,Puntos!$H$14))</f>
        <v>0</v>
      </c>
      <c r="AE23" s="322">
        <f>Calculos!AR11*Puntos!$H$12</f>
        <v>0</v>
      </c>
      <c r="AF23" s="322">
        <f>Calculos!AS11*Puntos!$H$13</f>
        <v>0</v>
      </c>
      <c r="AG23" s="374">
        <f>IF('Octavos de Final'!$G35="",0,'Octavos de Final'!$G35)</f>
        <v>0</v>
      </c>
      <c r="AH23" s="37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325" t="str">
        <f>'- B -'!B6</f>
        <v>España</v>
      </c>
      <c r="C27" s="394"/>
      <c r="D27" s="269" t="s">
        <v>522</v>
      </c>
      <c r="E27" s="394"/>
      <c r="F27" s="326" t="str">
        <f>'- B -'!F6</f>
        <v>Países Bajos</v>
      </c>
      <c r="G27" s="271" t="str">
        <f>IF('- B -'!$C$6="","",'- B -'!$C$6)</f>
        <v/>
      </c>
      <c r="H27" s="272" t="s">
        <v>24</v>
      </c>
      <c r="I27" s="271" t="str">
        <f>IF('- B -'!$E$6="","",'- B -'!$E$6)</f>
        <v/>
      </c>
      <c r="J27" s="273">
        <f>IF(AND($C27&lt;&gt;"",$E27&lt;&gt;"",$G27&lt;&gt;"",$I27&lt;&gt;"",OR(AND($C27&gt;$E27,$G27&gt;$I27),AND($C27=$E27,$G27=$I27),AND($C27&lt;$E27,$G27&lt;$I27))),Puntos!$H$10,0)</f>
        <v>0</v>
      </c>
      <c r="K27" s="273">
        <f>IF(AND($C27&lt;&gt;"",$E27&lt;&gt;"",$G27&lt;&gt;"",$I27&lt;&gt;"",AND($C27=$G27,$E27=$I27)),Puntos!$H$11,0)</f>
        <v>0</v>
      </c>
      <c r="L27" s="163"/>
      <c r="M27" s="274" t="str">
        <f>VLOOKUP(B27,tblEquipos,4,FALSE)</f>
        <v>ES</v>
      </c>
      <c r="N27" s="365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327" t="str">
        <f>'- B -'!B7</f>
        <v>Chile</v>
      </c>
      <c r="C28" s="389"/>
      <c r="D28" s="302" t="s">
        <v>522</v>
      </c>
      <c r="E28" s="389"/>
      <c r="F28" s="328" t="str">
        <f>'- B -'!F7</f>
        <v>Australia</v>
      </c>
      <c r="G28" s="290" t="str">
        <f>IF('- B -'!$C$7="","",'- B -'!$C$7)</f>
        <v/>
      </c>
      <c r="H28" s="291" t="s">
        <v>24</v>
      </c>
      <c r="I28" s="290" t="str">
        <f>IF('- B -'!$E$7="","",'- B -'!$E$7)</f>
        <v/>
      </c>
      <c r="J28" s="292">
        <f>IF(AND($C28&lt;&gt;"",$E28&lt;&gt;"",$G28&lt;&gt;"",$I28&lt;&gt;"",OR(AND($C28&gt;$E28,$G28&gt;$I28),AND($C28=$E28,$G28=$I28),AND($C28&lt;$E28,$G28&lt;$I28))),Puntos!$H$10,0)</f>
        <v>0</v>
      </c>
      <c r="K28" s="292">
        <f>IF(AND($C28&lt;&gt;"",$E28&lt;&gt;"",$G28&lt;&gt;"",$I28&lt;&gt;"",AND($C28=$G28,$E28=$I28)),Puntos!$H$11,0)</f>
        <v>0</v>
      </c>
      <c r="L28" s="163"/>
      <c r="M28" s="274" t="str">
        <f>VLOOKUP(F27,tblEquipos,4,FALSE)</f>
        <v>NL</v>
      </c>
      <c r="N28" s="365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327" t="str">
        <f>'- B -'!B8</f>
        <v>Australia</v>
      </c>
      <c r="C29" s="389"/>
      <c r="D29" s="302" t="s">
        <v>522</v>
      </c>
      <c r="E29" s="389"/>
      <c r="F29" s="328" t="str">
        <f>'- B -'!F8</f>
        <v>Países Bajos</v>
      </c>
      <c r="G29" s="290" t="str">
        <f>IF('- B -'!$C$8="","",'- B -'!$C$8)</f>
        <v/>
      </c>
      <c r="H29" s="291" t="s">
        <v>24</v>
      </c>
      <c r="I29" s="290" t="str">
        <f>IF('- B -'!$E$8="","",'- B -'!$E$8)</f>
        <v/>
      </c>
      <c r="J29" s="292">
        <f>IF(AND($C29&lt;&gt;"",$E29&lt;&gt;"",$G29&lt;&gt;"",$I29&lt;&gt;"",OR(AND($C29&gt;$E29,$G29&gt;$I29),AND($C29=$E29,$G29=$I29),AND($C29&lt;$E29,$G29&lt;$I29))),Puntos!$H$10,0)</f>
        <v>0</v>
      </c>
      <c r="K29" s="292">
        <f>IF(AND($C29&lt;&gt;"",$E29&lt;&gt;"",$G29&lt;&gt;"",$I29&lt;&gt;"",AND($C29=$G29,$E29=$I29)),Puntos!$H$11,0)</f>
        <v>0</v>
      </c>
      <c r="L29" s="163"/>
      <c r="M29" s="274" t="str">
        <f>VLOOKUP(B28,tblEquipos,4,FALSE)</f>
        <v>CL</v>
      </c>
      <c r="N29" s="365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327" t="str">
        <f>'- B -'!B9</f>
        <v>España</v>
      </c>
      <c r="C30" s="389"/>
      <c r="D30" s="302" t="s">
        <v>522</v>
      </c>
      <c r="E30" s="389"/>
      <c r="F30" s="328" t="str">
        <f>'- B -'!F9</f>
        <v>Chile</v>
      </c>
      <c r="G30" s="290" t="str">
        <f>IF('- B -'!$C$9="","",'- B -'!$C$9)</f>
        <v/>
      </c>
      <c r="H30" s="291" t="s">
        <v>24</v>
      </c>
      <c r="I30" s="290" t="str">
        <f>IF('- B -'!$E$9="","",'- B -'!$E$9)</f>
        <v/>
      </c>
      <c r="J30" s="292">
        <f>IF(AND($C30&lt;&gt;"",$E30&lt;&gt;"",$G30&lt;&gt;"",$I30&lt;&gt;"",OR(AND($C30&gt;$E30,$G30&gt;$I30),AND($C30=$E30,$G30=$I30),AND($C30&lt;$E30,$G30&lt;$I30))),Puntos!$H$10,0)</f>
        <v>0</v>
      </c>
      <c r="K30" s="292">
        <f>IF(AND($C30&lt;&gt;"",$E30&lt;&gt;"",$G30&lt;&gt;"",$I30&lt;&gt;"",AND($C30=$G30,$E30=$I30)),Puntos!$H$11,0)</f>
        <v>0</v>
      </c>
      <c r="L30" s="163"/>
      <c r="M30" s="274" t="str">
        <f>VLOOKUP(F28,tblEquipos,4,FALSE)</f>
        <v>AU</v>
      </c>
      <c r="N30" s="365"/>
      <c r="O30" s="266">
        <v>57</v>
      </c>
      <c r="P30" s="275" t="str">
        <f>IF(OR(P16="1ero Grupo A",V16="2do Grupo B",Q16="",U16=""),"OF1",IF((Q16+R16)&gt;(T16+U16),P16,V16))</f>
        <v>OF1</v>
      </c>
      <c r="Q30" s="276"/>
      <c r="R30" s="277"/>
      <c r="S30" s="278" t="s">
        <v>522</v>
      </c>
      <c r="T30" s="277"/>
      <c r="U30" s="276"/>
      <c r="V30" s="279" t="str">
        <f>IF(OR(P17="1ero Grupo C",V17="2do Grupo D",Q17="",U17=""),"OF2",IF((Q17+R17)&gt;(T17+U17),P17,V17))</f>
        <v>OF2</v>
      </c>
      <c r="W30" s="280"/>
      <c r="X30" s="281" t="str">
        <f>'Cuartos de Final'!E7</f>
        <v>OF1</v>
      </c>
      <c r="Y30" s="282" t="str">
        <f>IF('Cuartos de Final'!$F7="","",'Cuartos de Final'!$F7)</f>
        <v/>
      </c>
      <c r="Z30" s="283" t="s">
        <v>522</v>
      </c>
      <c r="AA30" s="282" t="str">
        <f>IF('Cuartos de Final'!$F9="","",'Cuartos de Final'!$F9)</f>
        <v/>
      </c>
      <c r="AB30" s="284" t="str">
        <f>'Cuartos de Final'!E9</f>
        <v>OF2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Calculos!AR12*Puntos!$H$12</f>
        <v>0</v>
      </c>
      <c r="AF30" s="285">
        <f>Calculos!AS12*Puntos!$H$13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327" t="str">
        <f>'- B -'!B10</f>
        <v>Australia</v>
      </c>
      <c r="C31" s="389"/>
      <c r="D31" s="302" t="s">
        <v>522</v>
      </c>
      <c r="E31" s="389"/>
      <c r="F31" s="328" t="str">
        <f>'- B -'!F10</f>
        <v>España</v>
      </c>
      <c r="G31" s="290" t="str">
        <f>IF('- B -'!$C$10="","",'- B -'!$C$10)</f>
        <v/>
      </c>
      <c r="H31" s="291" t="s">
        <v>24</v>
      </c>
      <c r="I31" s="290" t="str">
        <f>IF('- B -'!$E$10="","",'- B -'!$E$10)</f>
        <v/>
      </c>
      <c r="J31" s="292">
        <f>IF(AND($C31&lt;&gt;"",$E31&lt;&gt;"",$G31&lt;&gt;"",$I31&lt;&gt;"",OR(AND($C31&gt;$E31,$G31&gt;$I31),AND($C31=$E31,$G31=$I31),AND($C31&lt;$E31,$G31&lt;$I31))),Puntos!$H$10,0)</f>
        <v>0</v>
      </c>
      <c r="K31" s="292">
        <f>IF(AND($C31&lt;&gt;"",$E31&lt;&gt;"",$G31&lt;&gt;"",$I31&lt;&gt;"",AND($C31=$G31,$E31=$I31)),Puntos!$H$11,0)</f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87"/>
      <c r="R31" s="294"/>
      <c r="S31" s="295" t="s">
        <v>522</v>
      </c>
      <c r="T31" s="294"/>
      <c r="U31" s="287"/>
      <c r="V31" s="296" t="str">
        <f>IF(OR(P21="1ero Grupo G",V21="2do Grupo H",Q21="",U21=""),"OF6",IF((Q21+R21)&gt;(T21+U21),P21,V21))</f>
        <v>OF6</v>
      </c>
      <c r="W31" s="297"/>
      <c r="X31" s="298" t="str">
        <f>'Cuartos de Final'!E11</f>
        <v>OF5</v>
      </c>
      <c r="Y31" s="299" t="str">
        <f>IF('Cuartos de Final'!$F11="","",'Cuartos de Final'!$F11)</f>
        <v/>
      </c>
      <c r="Z31" s="288" t="s">
        <v>522</v>
      </c>
      <c r="AA31" s="299" t="str">
        <f>IF('Cuartos de Final'!$F13="","",'Cuartos de Final'!$F13)</f>
        <v/>
      </c>
      <c r="AB31" s="300" t="str">
        <f>'Cuartos de Final'!E13</f>
        <v>OF6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Calculos!AR13*Puntos!$H$12</f>
        <v>0</v>
      </c>
      <c r="AF31" s="301">
        <f>Calculos!AS13*Puntos!$H$13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329" t="str">
        <f>'- B -'!B11</f>
        <v>Países Bajos</v>
      </c>
      <c r="C32" s="386"/>
      <c r="D32" s="305" t="s">
        <v>522</v>
      </c>
      <c r="E32" s="386"/>
      <c r="F32" s="330" t="str">
        <f>'- B -'!F11</f>
        <v>Chile</v>
      </c>
      <c r="G32" s="307" t="str">
        <f>IF('- B -'!$C$11="","",'- B -'!$C$11)</f>
        <v/>
      </c>
      <c r="H32" s="308" t="s">
        <v>24</v>
      </c>
      <c r="I32" s="307" t="str">
        <f>IF('- B -'!$E$11="","",'- B -'!$E$11)</f>
        <v/>
      </c>
      <c r="J32" s="309">
        <f>IF(AND($C32&lt;&gt;"",$E32&lt;&gt;"",$G32&lt;&gt;"",$I32&lt;&gt;"",OR(AND($C32&gt;$E32,$G32&gt;$I32),AND($C32=$E32,$G32=$I32),AND($C32&lt;$E32,$G32&lt;$I32))),Puntos!$H$10,0)</f>
        <v>0</v>
      </c>
      <c r="K32" s="309">
        <f>IF(AND($C32&lt;&gt;"",$E32&lt;&gt;"",$G32&lt;&gt;"",$I32&lt;&gt;"",AND($C32=$G32,$E32=$I32)),Puntos!$H$11,0)</f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87"/>
      <c r="R32" s="294"/>
      <c r="S32" s="295" t="s">
        <v>522</v>
      </c>
      <c r="T32" s="294"/>
      <c r="U32" s="287"/>
      <c r="V32" s="296" t="str">
        <f>IF(OR(P19="1ero Grupo D",V19="2do Grupo C",Q19="",U19=""),"OF4",IF((Q19+R19)&gt;(T19+U19),P19,V19))</f>
        <v>OF4</v>
      </c>
      <c r="W32" s="297"/>
      <c r="X32" s="298" t="str">
        <f>'Cuartos de Final'!E15</f>
        <v>OF3</v>
      </c>
      <c r="Y32" s="299" t="str">
        <f>IF('Cuartos de Final'!$F15="","",'Cuartos de Final'!$F15)</f>
        <v/>
      </c>
      <c r="Z32" s="288" t="s">
        <v>522</v>
      </c>
      <c r="AA32" s="299" t="str">
        <f>IF('Cuartos de Final'!$F17="","",'Cuartos de Final'!$F17)</f>
        <v/>
      </c>
      <c r="AB32" s="300" t="str">
        <f>'Cuartos de Final'!E17</f>
        <v>OF4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Calculos!AR14*Puntos!$H$12</f>
        <v>0</v>
      </c>
      <c r="AF32" s="301">
        <f>Calculos!AS14*Puntos!$H$13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304"/>
      <c r="R33" s="314"/>
      <c r="S33" s="315" t="s">
        <v>522</v>
      </c>
      <c r="T33" s="314"/>
      <c r="U33" s="304"/>
      <c r="V33" s="316" t="str">
        <f>IF(OR(P23="1ero Grupo H",V23="2do Grupo G",Q23="",U23=""),"OF8",IF((Q23+R23)&gt;(T23+U23),P23,V23))</f>
        <v>OF8</v>
      </c>
      <c r="W33" s="317"/>
      <c r="X33" s="318" t="str">
        <f>'Cuartos de Final'!E19</f>
        <v>OF7</v>
      </c>
      <c r="Y33" s="319" t="str">
        <f>IF('Cuartos de Final'!$F19="","",'Cuartos de Final'!$F19)</f>
        <v/>
      </c>
      <c r="Z33" s="320" t="s">
        <v>522</v>
      </c>
      <c r="AA33" s="319" t="str">
        <f>IF('Cuartos de Final'!$F21="","",'Cuartos de Final'!$F21)</f>
        <v/>
      </c>
      <c r="AB33" s="321" t="str">
        <f>'Cuartos de Final'!E21</f>
        <v>OF8</v>
      </c>
      <c r="AC33" s="322">
        <f>IF(OR(Y33="",AA33=""),0,IF(AND(ISERROR(MATCH($X33,$P$30:$P$33,0)),ISERROR(MATCH($X33,$V$30:$V$33,0))),0,Puntos!$H$15))</f>
        <v>0</v>
      </c>
      <c r="AD33" s="322">
        <f>IF(OR(Y33="",AA33=""),0,IF(AND(ISERROR(MATCH($AB33,$P$30:$P$33,0)),ISERROR(MATCH($AB33,$V$30:$V$33,0))),0,Puntos!$H$15))</f>
        <v>0</v>
      </c>
      <c r="AE33" s="322">
        <f>Calculos!AR15*Puntos!$H$12</f>
        <v>0</v>
      </c>
      <c r="AF33" s="322">
        <f>Calculos!AS15*Puntos!$H$13</f>
        <v>0</v>
      </c>
      <c r="AG33" s="374">
        <f>IF('Cuartos de Final'!$G19="",0,'Cuartos de Final'!$G19)</f>
        <v>0</v>
      </c>
      <c r="AH33" s="37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267" t="str">
        <f>'- C -'!B6</f>
        <v>Colombia</v>
      </c>
      <c r="C38" s="394"/>
      <c r="D38" s="269" t="s">
        <v>522</v>
      </c>
      <c r="E38" s="394"/>
      <c r="F38" s="270" t="str">
        <f>'- C -'!F6</f>
        <v>Grecia</v>
      </c>
      <c r="G38" s="271" t="str">
        <f>IF('- C -'!$C$6="","",'- C -'!$C$6)</f>
        <v/>
      </c>
      <c r="H38" s="272" t="s">
        <v>24</v>
      </c>
      <c r="I38" s="271" t="str">
        <f>IF('- C -'!$E$6="","",'- C -'!$E$6)</f>
        <v/>
      </c>
      <c r="J38" s="273">
        <f>IF(AND($C38&lt;&gt;"",$E38&lt;&gt;"",$G38&lt;&gt;"",$I38&lt;&gt;"",OR(AND($C38&gt;$E38,$G38&gt;$I38),AND($C38=$E38,$G38=$I38),AND($C38&lt;$E38,$G38&lt;$I38))),Puntos!$H$10,0)</f>
        <v>0</v>
      </c>
      <c r="K38" s="273">
        <f>IF(AND($C38&lt;&gt;"",$E38&lt;&gt;"",$G38&lt;&gt;"",$I38&lt;&gt;"",AND($C38=$G38,$E38=$I38)),Puntos!$H$11,0)</f>
        <v>0</v>
      </c>
      <c r="L38" s="163"/>
      <c r="M38" s="274" t="str">
        <f>VLOOKUP(B38,tblEquipos,4,FALSE)</f>
        <v>CO</v>
      </c>
      <c r="N38" s="365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286" t="str">
        <f>'- C -'!B7</f>
        <v>Costa de Marfil</v>
      </c>
      <c r="C39" s="389"/>
      <c r="D39" s="288" t="s">
        <v>522</v>
      </c>
      <c r="E39" s="389"/>
      <c r="F39" s="289" t="str">
        <f>'- C -'!F7</f>
        <v>Japón</v>
      </c>
      <c r="G39" s="290" t="str">
        <f>IF('- C -'!$C$7="","",'- C -'!$C$7)</f>
        <v/>
      </c>
      <c r="H39" s="291" t="s">
        <v>24</v>
      </c>
      <c r="I39" s="290" t="str">
        <f>IF('- C -'!$E$7="","",'- C -'!$E$7)</f>
        <v/>
      </c>
      <c r="J39" s="292">
        <f>IF(AND($C39&lt;&gt;"",$E39&lt;&gt;"",$G39&lt;&gt;"",$I39&lt;&gt;"",OR(AND($C39&gt;$E39,$G39&gt;$I39),AND($C39=$E39,$G39=$I39),AND($C39&lt;$E39,$G39&lt;$I39))),Puntos!$H$10,0)</f>
        <v>0</v>
      </c>
      <c r="K39" s="292">
        <f>IF(AND($C39&lt;&gt;"",$E39&lt;&gt;"",$G39&lt;&gt;"",$I39&lt;&gt;"",AND($C39=$G39,$E39=$I39)),Puntos!$H$11,0)</f>
        <v>0</v>
      </c>
      <c r="L39" s="163"/>
      <c r="M39" s="274" t="str">
        <f>VLOOKUP(F38,tblEquipos,4,FALSE)</f>
        <v>GR</v>
      </c>
      <c r="N39" s="365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333"/>
      <c r="AA39" s="333"/>
      <c r="AB39" s="333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286" t="str">
        <f>'- C -'!B8</f>
        <v>Colombia</v>
      </c>
      <c r="C40" s="389"/>
      <c r="D40" s="302" t="s">
        <v>522</v>
      </c>
      <c r="E40" s="389"/>
      <c r="F40" s="289" t="str">
        <f>'- C -'!F8</f>
        <v>Costa de Marfil</v>
      </c>
      <c r="G40" s="290" t="str">
        <f>IF('- C -'!$C$8="","",'- C -'!$C$8)</f>
        <v/>
      </c>
      <c r="H40" s="291" t="s">
        <v>24</v>
      </c>
      <c r="I40" s="290" t="str">
        <f>IF('- C -'!$E$8="","",'- C -'!$E$8)</f>
        <v/>
      </c>
      <c r="J40" s="292">
        <f>IF(AND($C40&lt;&gt;"",$E40&lt;&gt;"",$G40&lt;&gt;"",$I40&lt;&gt;"",OR(AND($C40&gt;$E40,$G40&gt;$I40),AND($C40=$E40,$G40=$I40),AND($C40&lt;$E40,$G40&lt;$I40))),Puntos!$H$10,0)</f>
        <v>0</v>
      </c>
      <c r="K40" s="292">
        <f>IF(AND($C40&lt;&gt;"",$E40&lt;&gt;"",$G40&lt;&gt;"",$I40&lt;&gt;"",AND($C40=$G40,$E40=$I40)),Puntos!$H$11,0)</f>
        <v>0</v>
      </c>
      <c r="L40" s="163"/>
      <c r="M40" s="274" t="str">
        <f>VLOOKUP(B39,tblEquipos,4,FALSE)</f>
        <v>CI</v>
      </c>
      <c r="N40" s="365"/>
      <c r="O40" s="266">
        <v>61</v>
      </c>
      <c r="P40" s="275" t="str">
        <f>IF(OR(P30="OF1",V30="OF2",Q30="",U30=""),"CF1",IF((Q30+R30)&gt;(T30+U30),P30,V30))</f>
        <v>CF1</v>
      </c>
      <c r="Q40" s="276"/>
      <c r="R40" s="277"/>
      <c r="S40" s="278" t="s">
        <v>522</v>
      </c>
      <c r="T40" s="277"/>
      <c r="U40" s="276"/>
      <c r="V40" s="279" t="str">
        <f>IF(OR(P31="OF5",V31="OF6",Q31="",U31=""),"CF2",IF((Q31+R31)&gt;(T31+U31),P31,V31))</f>
        <v>CF2</v>
      </c>
      <c r="W40" s="280"/>
      <c r="X40" s="281" t="str">
        <f>Semifinal!E7</f>
        <v>CF1</v>
      </c>
      <c r="Y40" s="282" t="str">
        <f>IF(Semifinal!$F7="","",Semifinal!$F7)</f>
        <v/>
      </c>
      <c r="Z40" s="283" t="s">
        <v>522</v>
      </c>
      <c r="AA40" s="282" t="str">
        <f>IF(Semifinal!$F9="","",Semifinal!$F9)</f>
        <v/>
      </c>
      <c r="AB40" s="284" t="str">
        <f>Semifinal!E9</f>
        <v>CF2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Calculos!AR16*Puntos!$H$12</f>
        <v>0</v>
      </c>
      <c r="AF40" s="285">
        <f>Calculos!AS16*Puntos!$H$13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286" t="str">
        <f>'- C -'!B9</f>
        <v>Japón</v>
      </c>
      <c r="C41" s="389"/>
      <c r="D41" s="302" t="s">
        <v>522</v>
      </c>
      <c r="E41" s="389"/>
      <c r="F41" s="289" t="str">
        <f>'- C -'!F9</f>
        <v>Grecia</v>
      </c>
      <c r="G41" s="290" t="str">
        <f>IF('- C -'!$C$9="","",'- C -'!$C$9)</f>
        <v/>
      </c>
      <c r="H41" s="291" t="s">
        <v>24</v>
      </c>
      <c r="I41" s="290" t="str">
        <f>IF('- C -'!$E$9="","",'- C -'!$E$9)</f>
        <v/>
      </c>
      <c r="J41" s="292">
        <f>IF(AND($C41&lt;&gt;"",$E41&lt;&gt;"",$G41&lt;&gt;"",$I41&lt;&gt;"",OR(AND($C41&gt;$E41,$G41&gt;$I41),AND($C41=$E41,$G41=$I41),AND($C41&lt;$E41,$G41&lt;$I41))),Puntos!$H$10,0)</f>
        <v>0</v>
      </c>
      <c r="K41" s="292">
        <f>IF(AND($C41&lt;&gt;"",$E41&lt;&gt;"",$G41&lt;&gt;"",$I41&lt;&gt;"",AND($C41=$G41,$E41=$I41)),Puntos!$H$11,0)</f>
        <v>0</v>
      </c>
      <c r="L41" s="163"/>
      <c r="M41" s="274" t="str">
        <f>VLOOKUP(F39,tblEquipos,4,FALSE)</f>
        <v>JP</v>
      </c>
      <c r="N41" s="365"/>
      <c r="O41" s="266">
        <v>62</v>
      </c>
      <c r="P41" s="313" t="str">
        <f>IF(OR(P32="OF3",V32="OF4",Q32="",U32=""),"CF3",IF((Q32+R32)&gt;(T32+U32),P32,V32))</f>
        <v>CF3</v>
      </c>
      <c r="Q41" s="304"/>
      <c r="R41" s="314"/>
      <c r="S41" s="315" t="s">
        <v>522</v>
      </c>
      <c r="T41" s="314"/>
      <c r="U41" s="304"/>
      <c r="V41" s="316" t="str">
        <f>IF(OR(P33="OF7",V33="OF8",Q33="",U33=""),"CF4",IF((Q33+R33)&gt;(T33+U33),P33,V33))</f>
        <v>CF4</v>
      </c>
      <c r="W41" s="317"/>
      <c r="X41" s="318" t="str">
        <f>Semifinal!E11</f>
        <v>CF3</v>
      </c>
      <c r="Y41" s="319" t="str">
        <f>IF(Semifinal!$F11="","",Semifinal!$F11)</f>
        <v/>
      </c>
      <c r="Z41" s="320" t="s">
        <v>522</v>
      </c>
      <c r="AA41" s="319" t="str">
        <f>IF(Semifinal!$F13="","",Semifinal!$F13)</f>
        <v/>
      </c>
      <c r="AB41" s="321" t="str">
        <f>Semifinal!E13</f>
        <v>CF4</v>
      </c>
      <c r="AC41" s="322">
        <f>IF(OR(Y41="",AA41=""),0,IF(AND(ISERROR(MATCH($X41,$P$40:$P$41,0)),ISERROR(MATCH($X41,$V$40:$V$41,0))),0,Puntos!$H$16))</f>
        <v>0</v>
      </c>
      <c r="AD41" s="322">
        <f>IF(OR(Y41="",AA41=""),0,IF(AND(ISERROR(MATCH($AB41,$P$40:$P$41,0)),ISERROR(MATCH($AB41,$V$40:$V$41,0))),0,Puntos!$H$16))</f>
        <v>0</v>
      </c>
      <c r="AE41" s="322">
        <f>Calculos!AR17*Puntos!$H$12</f>
        <v>0</v>
      </c>
      <c r="AF41" s="322">
        <f>Calculos!AS17*Puntos!$H$13</f>
        <v>0</v>
      </c>
      <c r="AG41" s="374">
        <f>IF(Semifinal!$G11="",0,Semifinal!$G11)</f>
        <v>0</v>
      </c>
      <c r="AH41" s="37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286" t="str">
        <f>'- C -'!B10</f>
        <v>Japón</v>
      </c>
      <c r="C42" s="389"/>
      <c r="D42" s="302" t="s">
        <v>522</v>
      </c>
      <c r="E42" s="389"/>
      <c r="F42" s="289" t="str">
        <f>'- C -'!F10</f>
        <v>Colombia</v>
      </c>
      <c r="G42" s="290" t="str">
        <f>IF('- C -'!$C$10="","",'- C -'!$C$10)</f>
        <v/>
      </c>
      <c r="H42" s="291" t="s">
        <v>24</v>
      </c>
      <c r="I42" s="290" t="str">
        <f>IF('- C -'!$E$10="","",'- C -'!$E$10)</f>
        <v/>
      </c>
      <c r="J42" s="292">
        <f>IF(AND($C42&lt;&gt;"",$E42&lt;&gt;"",$G42&lt;&gt;"",$I42&lt;&gt;"",OR(AND($C42&gt;$E42,$G42&gt;$I42),AND($C42=$E42,$G42=$I42),AND($C42&lt;$E42,$G42&lt;$I42))),Puntos!$H$10,0)</f>
        <v>0</v>
      </c>
      <c r="K42" s="292">
        <f>IF(AND($C42&lt;&gt;"",$E42&lt;&gt;"",$G42&lt;&gt;"",$I42&lt;&gt;"",AND($C42=$G42,$E42=$I42)),Puntos!$H$11,0)</f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03" t="str">
        <f>'- C -'!B11</f>
        <v>Grecia</v>
      </c>
      <c r="C43" s="386"/>
      <c r="D43" s="305" t="s">
        <v>522</v>
      </c>
      <c r="E43" s="386"/>
      <c r="F43" s="306" t="str">
        <f>'- C -'!F11</f>
        <v>Costa de Marfil</v>
      </c>
      <c r="G43" s="307" t="str">
        <f>IF('- C -'!$C$11="","",'- C -'!$C$11)</f>
        <v/>
      </c>
      <c r="H43" s="308" t="s">
        <v>24</v>
      </c>
      <c r="I43" s="307" t="str">
        <f>IF('- C -'!$E$11="","",'- C -'!$E$11)</f>
        <v/>
      </c>
      <c r="J43" s="309">
        <f>IF(AND($C43&lt;&gt;"",$E43&lt;&gt;"",$G43&lt;&gt;"",$I43&lt;&gt;"",OR(AND($C43&gt;$E43,$G43&gt;$I43),AND($C43=$E43,$G43=$I43),AND($C43&lt;$E43,$G43&lt;$I43))),Puntos!$H$10,0)</f>
        <v>0</v>
      </c>
      <c r="K43" s="309">
        <f>IF(AND($C43&lt;&gt;"",$E43&lt;&gt;"",$G43&lt;&gt;"",$I43&lt;&gt;"",AND($C43=$G43,$E43=$I43)),Puntos!$H$11,0)</f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333"/>
      <c r="AA47" s="333"/>
      <c r="AB47" s="333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335"/>
      <c r="R48" s="336"/>
      <c r="S48" s="337" t="s">
        <v>522</v>
      </c>
      <c r="T48" s="336"/>
      <c r="U48" s="335"/>
      <c r="V48" s="338" t="str">
        <f>IF(OR(P41="CF3",V41="CF4",Q41="",U41=""),"P-SF2",IF((Q41+R41)&gt;(T41+U41),V41,P41))</f>
        <v>P-SF2</v>
      </c>
      <c r="W48" s="339"/>
      <c r="X48" s="340" t="str">
        <f>'3er puesto y FINAL'!E8</f>
        <v>SF1-2</v>
      </c>
      <c r="Y48" s="341" t="str">
        <f>IF('3er puesto y FINAL'!$F8="","",'3er puesto y FINAL'!$F8)</f>
        <v/>
      </c>
      <c r="Z48" s="342" t="s">
        <v>522</v>
      </c>
      <c r="AA48" s="341" t="str">
        <f>IF('3er puesto y FINAL'!$F10="","",'3er puesto y FINAL'!$F10)</f>
        <v/>
      </c>
      <c r="AB48" s="343" t="str">
        <f>'3er puesto y FINAL'!E10</f>
        <v>SF2-2</v>
      </c>
      <c r="AC48" s="344"/>
      <c r="AD48" s="344"/>
      <c r="AE48" s="344">
        <f>Calculos!AR18*Puntos!$H$12</f>
        <v>0</v>
      </c>
      <c r="AF48" s="344">
        <f>Calculos!AS18*Puntos!$H$13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267" t="str">
        <f>'- D -'!B6</f>
        <v>Uruguay</v>
      </c>
      <c r="C49" s="394"/>
      <c r="D49" s="269" t="s">
        <v>522</v>
      </c>
      <c r="E49" s="394"/>
      <c r="F49" s="270" t="str">
        <f>'- D -'!F6</f>
        <v>Costa Rica</v>
      </c>
      <c r="G49" s="271" t="str">
        <f>IF('- D -'!$C$6="","",'- D -'!$C$6)</f>
        <v/>
      </c>
      <c r="H49" s="272" t="s">
        <v>24</v>
      </c>
      <c r="I49" s="271" t="str">
        <f>IF('- D -'!$E$6="","",'- D -'!$E$6)</f>
        <v/>
      </c>
      <c r="J49" s="273">
        <f>IF(AND($C49&lt;&gt;"",$E49&lt;&gt;"",$G49&lt;&gt;"",$I49&lt;&gt;"",OR(AND($C49&gt;$E49,$G49&gt;$I49),AND($C49=$E49,$G49=$I49),AND($C49&lt;$E49,$G49&lt;$I49))),Puntos!$H$10,0)</f>
        <v>0</v>
      </c>
      <c r="K49" s="273">
        <f>IF(AND($C49&lt;&gt;"",$E49&lt;&gt;"",$G49&lt;&gt;"",$I49&lt;&gt;"",AND($C49=$G49,$E49=$I49)),Puntos!$H$11,0)</f>
        <v>0</v>
      </c>
      <c r="L49" s="163"/>
      <c r="M49" s="274" t="str">
        <f>VLOOKUP(B49,tblEquipos,4,FALSE)</f>
        <v>UY</v>
      </c>
      <c r="N49" s="365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286" t="str">
        <f>'- D -'!B7</f>
        <v>Inglaterra</v>
      </c>
      <c r="C50" s="389"/>
      <c r="D50" s="288" t="s">
        <v>522</v>
      </c>
      <c r="E50" s="389"/>
      <c r="F50" s="289" t="str">
        <f>'- D -'!F7</f>
        <v>Italia</v>
      </c>
      <c r="G50" s="290" t="str">
        <f>IF('- D -'!$C$7="","",'- D -'!$C$7)</f>
        <v/>
      </c>
      <c r="H50" s="291" t="s">
        <v>24</v>
      </c>
      <c r="I50" s="290" t="str">
        <f>IF('- D -'!$E$7="","",'- D -'!$E$7)</f>
        <v/>
      </c>
      <c r="J50" s="292">
        <f>IF(AND($C50&lt;&gt;"",$E50&lt;&gt;"",$G50&lt;&gt;"",$I50&lt;&gt;"",OR(AND($C50&gt;$E50,$G50&gt;$I50),AND($C50=$E50,$G50=$I50),AND($C50&lt;$E50,$G50&lt;$I50))),Puntos!$H$10,0)</f>
        <v>0</v>
      </c>
      <c r="K50" s="292">
        <f>IF(AND($C50&lt;&gt;"",$E50&lt;&gt;"",$G50&lt;&gt;"",$I50&lt;&gt;"",AND($C50=$G50,$E50=$I50)),Puntos!$H$11,0)</f>
        <v>0</v>
      </c>
      <c r="L50" s="163"/>
      <c r="M50" s="274" t="str">
        <f>VLOOKUP(F49,tblEquipos,4,FALSE)</f>
        <v>CR</v>
      </c>
      <c r="N50" s="365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286" t="str">
        <f>'- D -'!B8</f>
        <v>Uruguay</v>
      </c>
      <c r="C51" s="389"/>
      <c r="D51" s="302" t="s">
        <v>522</v>
      </c>
      <c r="E51" s="389"/>
      <c r="F51" s="289" t="str">
        <f>'- D -'!F8</f>
        <v>Inglaterra</v>
      </c>
      <c r="G51" s="290" t="str">
        <f>IF('- D -'!$C$8="","",'- D -'!$C$8)</f>
        <v/>
      </c>
      <c r="H51" s="291" t="s">
        <v>24</v>
      </c>
      <c r="I51" s="290" t="str">
        <f>IF('- D -'!$E$8="","",'- D -'!$E$8)</f>
        <v/>
      </c>
      <c r="J51" s="292">
        <f>IF(AND($C51&lt;&gt;"",$E51&lt;&gt;"",$G51&lt;&gt;"",$I51&lt;&gt;"",OR(AND($C51&gt;$E51,$G51&gt;$I51),AND($C51=$E51,$G51=$I51),AND($C51&lt;$E51,$G51&lt;$I51))),Puntos!$H$10,0)</f>
        <v>0</v>
      </c>
      <c r="K51" s="292">
        <f>IF(AND($C51&lt;&gt;"",$E51&lt;&gt;"",$G51&lt;&gt;"",$I51&lt;&gt;"",AND($C51=$G51,$E51=$I51)),Puntos!$H$11,0)</f>
        <v>0</v>
      </c>
      <c r="L51" s="163"/>
      <c r="M51" s="274" t="str">
        <f>VLOOKUP(B50,tblEquipos,4,FALSE)</f>
        <v>ENG</v>
      </c>
      <c r="N51" s="365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286" t="str">
        <f>'- D -'!B9</f>
        <v>Italia</v>
      </c>
      <c r="C52" s="389"/>
      <c r="D52" s="302" t="s">
        <v>522</v>
      </c>
      <c r="E52" s="389"/>
      <c r="F52" s="289" t="str">
        <f>'- D -'!F9</f>
        <v>Costa Rica</v>
      </c>
      <c r="G52" s="290" t="str">
        <f>IF('- D -'!$C$9="","",'- D -'!$C$9)</f>
        <v/>
      </c>
      <c r="H52" s="291" t="s">
        <v>24</v>
      </c>
      <c r="I52" s="290" t="str">
        <f>IF('- D -'!$E$9="","",'- D -'!$E$9)</f>
        <v/>
      </c>
      <c r="J52" s="292">
        <f>IF(AND($C52&lt;&gt;"",$E52&lt;&gt;"",$G52&lt;&gt;"",$I52&lt;&gt;"",OR(AND($C52&gt;$E52,$G52&gt;$I52),AND($C52=$E52,$G52=$I52),AND($C52&lt;$E52,$G52&lt;$I52))),Puntos!$H$10,0)</f>
        <v>0</v>
      </c>
      <c r="K52" s="292">
        <f>IF(AND($C52&lt;&gt;"",$E52&lt;&gt;"",$G52&lt;&gt;"",$I52&lt;&gt;"",AND($C52=$G52,$E52=$I52)),Puntos!$H$11,0)</f>
        <v>0</v>
      </c>
      <c r="L52" s="163"/>
      <c r="M52" s="274" t="str">
        <f>VLOOKUP(F50,tblEquipos,4,FALSE)</f>
        <v>IT</v>
      </c>
      <c r="N52" s="365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286" t="str">
        <f>'- D -'!B10</f>
        <v>Italia</v>
      </c>
      <c r="C53" s="389"/>
      <c r="D53" s="302" t="s">
        <v>522</v>
      </c>
      <c r="E53" s="389"/>
      <c r="F53" s="289" t="str">
        <f>'- D -'!F10</f>
        <v>Uruguay</v>
      </c>
      <c r="G53" s="290" t="str">
        <f>IF('- D -'!$C$10="","",'- D -'!$C$10)</f>
        <v/>
      </c>
      <c r="H53" s="291" t="s">
        <v>24</v>
      </c>
      <c r="I53" s="290" t="str">
        <f>IF('- D -'!$E$10="","",'- D -'!$E$10)</f>
        <v/>
      </c>
      <c r="J53" s="292">
        <f>IF(AND($C53&lt;&gt;"",$E53&lt;&gt;"",$G53&lt;&gt;"",$I53&lt;&gt;"",OR(AND($C53&gt;$E53,$G53&gt;$I53),AND($C53=$E53,$G53=$I53),AND($C53&lt;$E53,$G53&lt;$I53))),Puntos!$H$10,0)</f>
        <v>0</v>
      </c>
      <c r="K53" s="292">
        <f>IF(AND($C53&lt;&gt;"",$E53&lt;&gt;"",$G53&lt;&gt;"",$I53&lt;&gt;"",AND($C53=$G53,$E53=$I53)),Puntos!$H$11,0)</f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03" t="str">
        <f>'- D -'!B11</f>
        <v>Costa Rica</v>
      </c>
      <c r="C54" s="386"/>
      <c r="D54" s="305" t="s">
        <v>522</v>
      </c>
      <c r="E54" s="386"/>
      <c r="F54" s="306" t="str">
        <f>'- D -'!F11</f>
        <v>Inglaterra</v>
      </c>
      <c r="G54" s="307" t="str">
        <f>IF('- D -'!$C$11="","",'- D -'!$C$11)</f>
        <v/>
      </c>
      <c r="H54" s="308" t="s">
        <v>24</v>
      </c>
      <c r="I54" s="307" t="str">
        <f>IF('- D -'!$E$11="","",'- D -'!$E$11)</f>
        <v/>
      </c>
      <c r="J54" s="309">
        <f>IF(AND($C54&lt;&gt;"",$E54&lt;&gt;"",$G54&lt;&gt;"",$I54&lt;&gt;"",OR(AND($C54&gt;$E54,$G54&gt;$I54),AND($C54=$E54,$G54=$I54),AND($C54&lt;$E54,$G54&lt;$I54))),Puntos!$H$10,0)</f>
        <v>0</v>
      </c>
      <c r="K54" s="309">
        <f>IF(AND($C54&lt;&gt;"",$E54&lt;&gt;"",$G54&lt;&gt;"",$I54&lt;&gt;"",AND($C54=$G54,$E54=$I54)),Puntos!$H$11,0)</f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333"/>
      <c r="AA54" s="333"/>
      <c r="AB54" s="333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335"/>
      <c r="R55" s="336"/>
      <c r="S55" s="337" t="s">
        <v>522</v>
      </c>
      <c r="T55" s="336"/>
      <c r="U55" s="335"/>
      <c r="V55" s="338" t="str">
        <f>IF(OR(P41="CF3",V41="CF4",Q41="",U41=""),"G-SF2",IF((Q41+R41)&lt;(T41+U41),V41,P41))</f>
        <v>G-SF2</v>
      </c>
      <c r="W55" s="339"/>
      <c r="X55" s="340" t="str">
        <f>'3er puesto y FINAL'!E15</f>
        <v>SF1</v>
      </c>
      <c r="Y55" s="341" t="str">
        <f>IF('3er puesto y FINAL'!$F15="","",'3er puesto y FINAL'!$F15)</f>
        <v/>
      </c>
      <c r="Z55" s="342" t="s">
        <v>522</v>
      </c>
      <c r="AA55" s="341" t="str">
        <f>IF('3er puesto y FINAL'!$F17="","",'3er puesto y FINAL'!$F17)</f>
        <v/>
      </c>
      <c r="AB55" s="343" t="str">
        <f>'3er puesto y FINAL'!E17</f>
        <v>SF2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Calculos!AR19*Puntos!$H$12</f>
        <v>0</v>
      </c>
      <c r="AF55" s="285">
        <f>Calculos!AS19*Puntos!$H$13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66"/>
      <c r="Q56" s="366"/>
      <c r="R56" s="366"/>
      <c r="S56" s="366"/>
      <c r="T56" s="366"/>
      <c r="U56" s="366"/>
      <c r="V56" s="367"/>
      <c r="W56" s="297"/>
      <c r="X56" s="368"/>
      <c r="Y56" s="369"/>
      <c r="Z56" s="370"/>
      <c r="AA56" s="369"/>
      <c r="AB56" s="371" t="s">
        <v>553</v>
      </c>
      <c r="AC56" s="613">
        <f>IF(AND(P60=X60,P60&lt;&gt;""),Puntos!$H$18,0)</f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267" t="str">
        <f>'- E -'!B6</f>
        <v>Suiza</v>
      </c>
      <c r="C60" s="268"/>
      <c r="D60" s="269" t="s">
        <v>522</v>
      </c>
      <c r="E60" s="268"/>
      <c r="F60" s="270" t="str">
        <f>'- E -'!F6</f>
        <v>Ecuador</v>
      </c>
      <c r="G60" s="271" t="str">
        <f>IF('- E -'!$C$6="","",'- E -'!$C$6)</f>
        <v/>
      </c>
      <c r="H60" s="272" t="s">
        <v>24</v>
      </c>
      <c r="I60" s="271" t="str">
        <f>IF('- E -'!$E$6="","",'- E -'!$E$6)</f>
        <v/>
      </c>
      <c r="J60" s="273">
        <f>IF(AND($C60&lt;&gt;"",$E60&lt;&gt;"",$G60&lt;&gt;"",$I60&lt;&gt;"",OR(AND($C60&gt;$E60,$G60&gt;$I60),AND($C60=$E60,$G60=$I60),AND($C60&lt;$E60,$G60&lt;$I60))),Puntos!$H$10,0)</f>
        <v>0</v>
      </c>
      <c r="K60" s="273">
        <f>IF(AND($C60&lt;&gt;"",$E60&lt;&gt;"",$G60&lt;&gt;"",$I60&lt;&gt;"",AND($C60=$G60,$E60=$I60)),Puntos!$H$11,0)</f>
        <v>0</v>
      </c>
      <c r="L60" s="163"/>
      <c r="M60" s="274" t="str">
        <f>VLOOKUP(B60,tblEquipos,4,FALSE)</f>
        <v>CH</v>
      </c>
      <c r="N60" s="365"/>
      <c r="O60" s="163"/>
      <c r="P60" s="610" t="str">
        <f>IF(OR(Q55="",U55=""),"","Campeón " &amp; IF(SUM(Q55:R55)&gt;SUM(T55:U55),P55,V55))</f>
        <v/>
      </c>
      <c r="Q60" s="610"/>
      <c r="R60" s="610"/>
      <c r="S60" s="610"/>
      <c r="T60" s="610"/>
      <c r="U60" s="610"/>
      <c r="V60" s="610"/>
      <c r="W60" s="244"/>
      <c r="X60" s="610" t="str">
        <f>IF(OR(Y55="",AA55=""),"","Campeón " &amp; IF(SUM('3er puesto y FINAL'!F15:G15)&gt;SUM('3er puesto y FINAL'!F17:G17),'3er puesto y FINAL'!E15,'3er puesto y FINAL'!E17))</f>
        <v/>
      </c>
      <c r="Y60" s="610"/>
      <c r="Z60" s="610"/>
      <c r="AA60" s="610"/>
      <c r="AB60" s="610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286" t="str">
        <f>'- E -'!B7</f>
        <v>Francia</v>
      </c>
      <c r="C61" s="287"/>
      <c r="D61" s="288" t="s">
        <v>522</v>
      </c>
      <c r="E61" s="287"/>
      <c r="F61" s="289" t="str">
        <f>'- E -'!F7</f>
        <v>Honduras</v>
      </c>
      <c r="G61" s="290" t="str">
        <f>IF('- E -'!$C$7="","",'- E -'!$C$7)</f>
        <v/>
      </c>
      <c r="H61" s="291" t="s">
        <v>24</v>
      </c>
      <c r="I61" s="290" t="str">
        <f>IF('- E -'!$E$7="","",'- E -'!$E$7)</f>
        <v/>
      </c>
      <c r="J61" s="292">
        <f>IF(AND($C61&lt;&gt;"",$E61&lt;&gt;"",$G61&lt;&gt;"",$I61&lt;&gt;"",OR(AND($C61&gt;$E61,$G61&gt;$I61),AND($C61=$E61,$G61=$I61),AND($C61&lt;$E61,$G61&lt;$I61))),Puntos!$H$10,0)</f>
        <v>0</v>
      </c>
      <c r="K61" s="292">
        <f>IF(AND($C61&lt;&gt;"",$E61&lt;&gt;"",$G61&lt;&gt;"",$I61&lt;&gt;"",AND($C61=$G61,$E61=$I61)),Puntos!$H$11,0)</f>
        <v>0</v>
      </c>
      <c r="L61" s="163"/>
      <c r="M61" s="274" t="str">
        <f>VLOOKUP(F60,tblEquipos,4,FALSE)</f>
        <v>EC</v>
      </c>
      <c r="N61" s="365"/>
      <c r="O61" s="163"/>
      <c r="P61" s="610"/>
      <c r="Q61" s="610"/>
      <c r="R61" s="610"/>
      <c r="S61" s="610"/>
      <c r="T61" s="610"/>
      <c r="U61" s="610"/>
      <c r="V61" s="610"/>
      <c r="W61" s="244"/>
      <c r="X61" s="610"/>
      <c r="Y61" s="610"/>
      <c r="Z61" s="610"/>
      <c r="AA61" s="610"/>
      <c r="AB61" s="610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286" t="str">
        <f>'- E -'!B8</f>
        <v>Suiza</v>
      </c>
      <c r="C62" s="287"/>
      <c r="D62" s="302" t="s">
        <v>522</v>
      </c>
      <c r="E62" s="287"/>
      <c r="F62" s="289" t="str">
        <f>'- E -'!F8</f>
        <v>Francia</v>
      </c>
      <c r="G62" s="290" t="str">
        <f>IF('- E -'!$C$8="","",'- E -'!$C$8)</f>
        <v/>
      </c>
      <c r="H62" s="291" t="s">
        <v>24</v>
      </c>
      <c r="I62" s="290" t="str">
        <f>IF('- E -'!$E$8="","",'- E -'!$E$8)</f>
        <v/>
      </c>
      <c r="J62" s="292">
        <f>IF(AND($C62&lt;&gt;"",$E62&lt;&gt;"",$G62&lt;&gt;"",$I62&lt;&gt;"",OR(AND($C62&gt;$E62,$G62&gt;$I62),AND($C62=$E62,$G62=$I62),AND($C62&lt;$E62,$G62&lt;$I62))),Puntos!$H$10,0)</f>
        <v>0</v>
      </c>
      <c r="K62" s="292">
        <f>IF(AND($C62&lt;&gt;"",$E62&lt;&gt;"",$G62&lt;&gt;"",$I62&lt;&gt;"",AND($C62=$G62,$E62=$I62)),Puntos!$H$11,0)</f>
        <v>0</v>
      </c>
      <c r="L62" s="163"/>
      <c r="M62" s="274" t="str">
        <f>VLOOKUP(B61,tblEquipos,4,FALSE)</f>
        <v>FR</v>
      </c>
      <c r="N62" s="365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286" t="str">
        <f>'- E -'!B9</f>
        <v>Honduras</v>
      </c>
      <c r="C63" s="287"/>
      <c r="D63" s="302" t="s">
        <v>522</v>
      </c>
      <c r="E63" s="287"/>
      <c r="F63" s="289" t="str">
        <f>'- E -'!F9</f>
        <v>Ecuador</v>
      </c>
      <c r="G63" s="290" t="str">
        <f>IF('- E -'!$C$9="","",'- E -'!$C$9)</f>
        <v/>
      </c>
      <c r="H63" s="291" t="s">
        <v>24</v>
      </c>
      <c r="I63" s="290" t="str">
        <f>IF('- E -'!$E$9="","",'- E -'!$E$9)</f>
        <v/>
      </c>
      <c r="J63" s="292">
        <f>IF(AND($C63&lt;&gt;"",$E63&lt;&gt;"",$G63&lt;&gt;"",$I63&lt;&gt;"",OR(AND($C63&gt;$E63,$G63&gt;$I63),AND($C63=$E63,$G63=$I63),AND($C63&lt;$E63,$G63&lt;$I63))),Puntos!$H$10,0)</f>
        <v>0</v>
      </c>
      <c r="K63" s="292">
        <f>IF(AND($C63&lt;&gt;"",$E63&lt;&gt;"",$G63&lt;&gt;"",$I63&lt;&gt;"",AND($C63=$G63,$E63=$I63)),Puntos!$H$11,0)</f>
        <v>0</v>
      </c>
      <c r="L63" s="163"/>
      <c r="M63" s="274" t="str">
        <f>VLOOKUP(F61,tblEquipos,4,FALSE)</f>
        <v>HN</v>
      </c>
      <c r="N63" s="365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286" t="str">
        <f>'- E -'!B10</f>
        <v>Honduras</v>
      </c>
      <c r="C64" s="287"/>
      <c r="D64" s="302" t="s">
        <v>522</v>
      </c>
      <c r="E64" s="287"/>
      <c r="F64" s="289" t="str">
        <f>'- E -'!F10</f>
        <v>Suiza</v>
      </c>
      <c r="G64" s="290" t="str">
        <f>IF('- E -'!$C$10="","",'- E -'!$C$10)</f>
        <v/>
      </c>
      <c r="H64" s="291" t="s">
        <v>24</v>
      </c>
      <c r="I64" s="290" t="str">
        <f>IF('- E -'!$E$10="","",'- E -'!$E$10)</f>
        <v/>
      </c>
      <c r="J64" s="292">
        <f>IF(AND($C64&lt;&gt;"",$E64&lt;&gt;"",$G64&lt;&gt;"",$I64&lt;&gt;"",OR(AND($C64&gt;$E64,$G64&gt;$I64),AND($C64=$E64,$G64=$I64),AND($C64&lt;$E64,$G64&lt;$I64))),Puntos!$H$10,0)</f>
        <v>0</v>
      </c>
      <c r="K64" s="292">
        <f>IF(AND($C64&lt;&gt;"",$E64&lt;&gt;"",$G64&lt;&gt;"",$I64&lt;&gt;"",AND($C64=$G64,$E64=$I64)),Puntos!$H$11,0)</f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03" t="str">
        <f>'- E -'!B11</f>
        <v>Ecuador</v>
      </c>
      <c r="C65" s="304"/>
      <c r="D65" s="305" t="s">
        <v>522</v>
      </c>
      <c r="E65" s="304"/>
      <c r="F65" s="306" t="str">
        <f>'- E -'!F11</f>
        <v>Francia</v>
      </c>
      <c r="G65" s="307" t="str">
        <f>IF('- E -'!$C$11="","",'- E -'!$C$11)</f>
        <v/>
      </c>
      <c r="H65" s="308" t="s">
        <v>24</v>
      </c>
      <c r="I65" s="307" t="str">
        <f>IF('- E -'!$E$11="","",'- E -'!$E$11)</f>
        <v/>
      </c>
      <c r="J65" s="309">
        <f>IF(AND($C65&lt;&gt;"",$E65&lt;&gt;"",$G65&lt;&gt;"",$I65&lt;&gt;"",OR(AND($C65&gt;$E65,$G65&gt;$I65),AND($C65=$E65,$G65=$I65),AND($C65&lt;$E65,$G65&lt;$I65))),Puntos!$H$10,0)</f>
        <v>0</v>
      </c>
      <c r="K65" s="309">
        <f>IF(AND($C65&lt;&gt;"",$E65&lt;&gt;"",$G65&lt;&gt;"",$I65&lt;&gt;"",AND($C65=$G65,$E65=$I65)),Puntos!$H$11,0)</f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267" t="str">
        <f>'- F -'!B6</f>
        <v>Argentina</v>
      </c>
      <c r="C71" s="268"/>
      <c r="D71" s="269" t="s">
        <v>522</v>
      </c>
      <c r="E71" s="268"/>
      <c r="F71" s="270" t="str">
        <f>'- F -'!F6</f>
        <v>Bosnia-Herzegovina</v>
      </c>
      <c r="G71" s="271" t="str">
        <f>IF('- F -'!$C$6="","",'- F -'!$C$6)</f>
        <v/>
      </c>
      <c r="H71" s="272" t="s">
        <v>24</v>
      </c>
      <c r="I71" s="271" t="str">
        <f>IF('- F -'!$E$6="","",'- F -'!$E$6)</f>
        <v/>
      </c>
      <c r="J71" s="273">
        <f>IF(AND($C71&lt;&gt;"",$E71&lt;&gt;"",$G71&lt;&gt;"",$I71&lt;&gt;"",OR(AND($C71&gt;$E71,$G71&gt;$I71),AND($C71=$E71,$G71=$I71),AND($C71&lt;$E71,$G71&lt;$I71))),Puntos!$H$10,0)</f>
        <v>0</v>
      </c>
      <c r="K71" s="273">
        <f>IF(AND($C71&lt;&gt;"",$E71&lt;&gt;"",$G71&lt;&gt;"",$I71&lt;&gt;"",AND($C71=$G71,$E71=$I71)),Puntos!$H$11,0)</f>
        <v>0</v>
      </c>
      <c r="L71" s="163"/>
      <c r="M71" s="274" t="str">
        <f>VLOOKUP(B71,tblEquipos,4,FALSE)</f>
        <v>AR</v>
      </c>
      <c r="N71" s="365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286" t="str">
        <f>'- F -'!B7</f>
        <v>Irán</v>
      </c>
      <c r="C72" s="287"/>
      <c r="D72" s="288" t="s">
        <v>522</v>
      </c>
      <c r="E72" s="287"/>
      <c r="F72" s="289" t="str">
        <f>'- F -'!F7</f>
        <v>Nigeria</v>
      </c>
      <c r="G72" s="290" t="str">
        <f>IF('- F -'!$C$7="","",'- F -'!$C$7)</f>
        <v/>
      </c>
      <c r="H72" s="291" t="s">
        <v>24</v>
      </c>
      <c r="I72" s="290" t="str">
        <f>IF('- F -'!$E$7="","",'- F -'!$E$7)</f>
        <v/>
      </c>
      <c r="J72" s="292">
        <f>IF(AND($C72&lt;&gt;"",$E72&lt;&gt;"",$G72&lt;&gt;"",$I72&lt;&gt;"",OR(AND($C72&gt;$E72,$G72&gt;$I72),AND($C72=$E72,$G72=$I72),AND($C72&lt;$E72,$G72&lt;$I72))),Puntos!$H$10,0)</f>
        <v>0</v>
      </c>
      <c r="K72" s="292">
        <f>IF(AND($C72&lt;&gt;"",$E72&lt;&gt;"",$G72&lt;&gt;"",$I72&lt;&gt;"",AND($C72=$G72,$E72=$I72)),Puntos!$H$11,0)</f>
        <v>0</v>
      </c>
      <c r="L72" s="163"/>
      <c r="M72" s="274" t="str">
        <f>VLOOKUP(F71,tblEquipos,4,FALSE)</f>
        <v>BA</v>
      </c>
      <c r="N72" s="365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286" t="str">
        <f>'- F -'!B8</f>
        <v>Argentina</v>
      </c>
      <c r="C73" s="287"/>
      <c r="D73" s="302" t="s">
        <v>522</v>
      </c>
      <c r="E73" s="287"/>
      <c r="F73" s="289" t="str">
        <f>'- F -'!F8</f>
        <v>Irán</v>
      </c>
      <c r="G73" s="290" t="str">
        <f>IF('- F -'!$C$8="","",'- F -'!$C$8)</f>
        <v/>
      </c>
      <c r="H73" s="291" t="s">
        <v>24</v>
      </c>
      <c r="I73" s="290" t="str">
        <f>IF('- F -'!$E$8="","",'- F -'!$E$8)</f>
        <v/>
      </c>
      <c r="J73" s="292">
        <f>IF(AND($C73&lt;&gt;"",$E73&lt;&gt;"",$G73&lt;&gt;"",$I73&lt;&gt;"",OR(AND($C73&gt;$E73,$G73&gt;$I73),AND($C73=$E73,$G73=$I73),AND($C73&lt;$E73,$G73&lt;$I73))),Puntos!$H$10,0)</f>
        <v>0</v>
      </c>
      <c r="K73" s="292">
        <f>IF(AND($C73&lt;&gt;"",$E73&lt;&gt;"",$G73&lt;&gt;"",$I73&lt;&gt;"",AND($C73=$G73,$E73=$I73)),Puntos!$H$11,0)</f>
        <v>0</v>
      </c>
      <c r="L73" s="163"/>
      <c r="M73" s="274" t="str">
        <f>VLOOKUP(B72,tblEquipos,4,FALSE)</f>
        <v>IR</v>
      </c>
      <c r="N73" s="365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286" t="str">
        <f>'- F -'!B9</f>
        <v>Nigeria</v>
      </c>
      <c r="C74" s="287"/>
      <c r="D74" s="302" t="s">
        <v>522</v>
      </c>
      <c r="E74" s="287"/>
      <c r="F74" s="289" t="str">
        <f>'- F -'!F9</f>
        <v>Bosnia-Herzegovina</v>
      </c>
      <c r="G74" s="290" t="str">
        <f>IF('- F -'!$C$9="","",'- F -'!$C$9)</f>
        <v/>
      </c>
      <c r="H74" s="291" t="s">
        <v>24</v>
      </c>
      <c r="I74" s="290" t="str">
        <f>IF('- F -'!$E$9="","",'- F -'!$E$9)</f>
        <v/>
      </c>
      <c r="J74" s="292">
        <f>IF(AND($C74&lt;&gt;"",$E74&lt;&gt;"",$G74&lt;&gt;"",$I74&lt;&gt;"",OR(AND($C74&gt;$E74,$G74&gt;$I74),AND($C74=$E74,$G74=$I74),AND($C74&lt;$E74,$G74&lt;$I74))),Puntos!$H$10,0)</f>
        <v>0</v>
      </c>
      <c r="K74" s="292">
        <f>IF(AND($C74&lt;&gt;"",$E74&lt;&gt;"",$G74&lt;&gt;"",$I74&lt;&gt;"",AND($C74=$G74,$E74=$I74)),Puntos!$H$11,0)</f>
        <v>0</v>
      </c>
      <c r="L74" s="163"/>
      <c r="M74" s="274" t="str">
        <f>VLOOKUP(F72,tblEquipos,4,FALSE)</f>
        <v>NG</v>
      </c>
      <c r="N74" s="365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286" t="str">
        <f>'- F -'!B10</f>
        <v>Nigeria</v>
      </c>
      <c r="C75" s="287"/>
      <c r="D75" s="302" t="s">
        <v>522</v>
      </c>
      <c r="E75" s="287"/>
      <c r="F75" s="289" t="str">
        <f>'- F -'!F10</f>
        <v>Argentina</v>
      </c>
      <c r="G75" s="290" t="str">
        <f>IF('- F -'!$C$10="","",'- F -'!$C$10)</f>
        <v/>
      </c>
      <c r="H75" s="291" t="s">
        <v>24</v>
      </c>
      <c r="I75" s="290" t="str">
        <f>IF('- F -'!$E$10="","",'- F -'!$E$10)</f>
        <v/>
      </c>
      <c r="J75" s="292">
        <f>IF(AND($C75&lt;&gt;"",$E75&lt;&gt;"",$G75&lt;&gt;"",$I75&lt;&gt;"",OR(AND($C75&gt;$E75,$G75&gt;$I75),AND($C75=$E75,$G75=$I75),AND($C75&lt;$E75,$G75&lt;$I75))),Puntos!$H$10,0)</f>
        <v>0</v>
      </c>
      <c r="K75" s="292">
        <f>IF(AND($C75&lt;&gt;"",$E75&lt;&gt;"",$G75&lt;&gt;"",$I75&lt;&gt;"",AND($C75=$G75,$E75=$I75)),Puntos!$H$11,0)</f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03" t="str">
        <f>'- F -'!B11</f>
        <v>Bosnia-Herzegovina</v>
      </c>
      <c r="C76" s="304"/>
      <c r="D76" s="305" t="s">
        <v>522</v>
      </c>
      <c r="E76" s="304"/>
      <c r="F76" s="306" t="str">
        <f>'- F -'!F11</f>
        <v>Irán</v>
      </c>
      <c r="G76" s="307" t="str">
        <f>IF('- F -'!$C$11="","",'- F -'!$C$11)</f>
        <v/>
      </c>
      <c r="H76" s="308" t="s">
        <v>24</v>
      </c>
      <c r="I76" s="307" t="str">
        <f>IF('- F -'!$E$11="","",'- F -'!$E$11)</f>
        <v/>
      </c>
      <c r="J76" s="309">
        <f>IF(AND($C76&lt;&gt;"",$E76&lt;&gt;"",$G76&lt;&gt;"",$I76&lt;&gt;"",OR(AND($C76&gt;$E76,$G76&gt;$I76),AND($C76=$E76,$G76=$I76),AND($C76&lt;$E76,$G76&lt;$I76))),Puntos!$H$10,0)</f>
        <v>0</v>
      </c>
      <c r="K76" s="309">
        <f>IF(AND($C76&lt;&gt;"",$E76&lt;&gt;"",$G76&lt;&gt;"",$I76&lt;&gt;"",AND($C76=$G76,$E76=$I76)),Puntos!$H$11,0)</f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267" t="str">
        <f>'- G -'!B6</f>
        <v>Alemania</v>
      </c>
      <c r="C82" s="268"/>
      <c r="D82" s="269" t="s">
        <v>522</v>
      </c>
      <c r="E82" s="268"/>
      <c r="F82" s="270" t="str">
        <f>'- G -'!F6</f>
        <v>Portugal</v>
      </c>
      <c r="G82" s="271" t="str">
        <f>IF('- G -'!$C$6="","",'- G -'!$C$6)</f>
        <v/>
      </c>
      <c r="H82" s="272" t="s">
        <v>24</v>
      </c>
      <c r="I82" s="271" t="str">
        <f>IF('- G -'!$E$6="","",'- G -'!$E$6)</f>
        <v/>
      </c>
      <c r="J82" s="273">
        <f>IF(AND($C82&lt;&gt;"",$E82&lt;&gt;"",$G82&lt;&gt;"",$I82&lt;&gt;"",OR(AND($C82&gt;$E82,$G82&gt;$I82),AND($C82=$E82,$G82=$I82),AND($C82&lt;$E82,$G82&lt;$I82))),Puntos!$H$10,0)</f>
        <v>0</v>
      </c>
      <c r="K82" s="273">
        <f>IF(AND($C82&lt;&gt;"",$E82&lt;&gt;"",$G82&lt;&gt;"",$I82&lt;&gt;"",AND($C82=$G82,$E82=$I82)),Puntos!$H$11,0)</f>
        <v>0</v>
      </c>
      <c r="L82" s="163"/>
      <c r="M82" s="274" t="str">
        <f>VLOOKUP(B82,tblEquipos,4,FALSE)</f>
        <v>DE</v>
      </c>
      <c r="N82" s="365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286" t="str">
        <f>'- G -'!B7</f>
        <v>Ghana</v>
      </c>
      <c r="C83" s="287"/>
      <c r="D83" s="288" t="s">
        <v>522</v>
      </c>
      <c r="E83" s="287"/>
      <c r="F83" s="289" t="str">
        <f>'- G -'!F7</f>
        <v>EEUU</v>
      </c>
      <c r="G83" s="290" t="str">
        <f>IF('- G -'!$C$7="","",'- G -'!$C$7)</f>
        <v/>
      </c>
      <c r="H83" s="291" t="s">
        <v>24</v>
      </c>
      <c r="I83" s="290" t="str">
        <f>IF('- G -'!$E$7="","",'- G -'!$E$7)</f>
        <v/>
      </c>
      <c r="J83" s="292">
        <f>IF(AND($C83&lt;&gt;"",$E83&lt;&gt;"",$G83&lt;&gt;"",$I83&lt;&gt;"",OR(AND($C83&gt;$E83,$G83&gt;$I83),AND($C83=$E83,$G83=$I83),AND($C83&lt;$E83,$G83&lt;$I83))),Puntos!$H$10,0)</f>
        <v>0</v>
      </c>
      <c r="K83" s="292">
        <f>IF(AND($C83&lt;&gt;"",$E83&lt;&gt;"",$G83&lt;&gt;"",$I83&lt;&gt;"",AND($C83=$G83,$E83=$I83)),Puntos!$H$11,0)</f>
        <v>0</v>
      </c>
      <c r="L83" s="163"/>
      <c r="M83" s="274" t="str">
        <f>VLOOKUP(F82,tblEquipos,4,FALSE)</f>
        <v>PT</v>
      </c>
      <c r="N83" s="365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286" t="str">
        <f>'- G -'!B8</f>
        <v>Alemania</v>
      </c>
      <c r="C84" s="287"/>
      <c r="D84" s="302" t="s">
        <v>522</v>
      </c>
      <c r="E84" s="287"/>
      <c r="F84" s="289" t="str">
        <f>'- G -'!F8</f>
        <v>Ghana</v>
      </c>
      <c r="G84" s="290" t="str">
        <f>IF('- G -'!$C$8="","",'- G -'!$C$8)</f>
        <v/>
      </c>
      <c r="H84" s="291" t="s">
        <v>24</v>
      </c>
      <c r="I84" s="290" t="str">
        <f>IF('- G -'!$E$8="","",'- G -'!$E$8)</f>
        <v/>
      </c>
      <c r="J84" s="292">
        <f>IF(AND($C84&lt;&gt;"",$E84&lt;&gt;"",$G84&lt;&gt;"",$I84&lt;&gt;"",OR(AND($C84&gt;$E84,$G84&gt;$I84),AND($C84=$E84,$G84=$I84),AND($C84&lt;$E84,$G84&lt;$I84))),Puntos!$H$10,0)</f>
        <v>0</v>
      </c>
      <c r="K84" s="292">
        <f>IF(AND($C84&lt;&gt;"",$E84&lt;&gt;"",$G84&lt;&gt;"",$I84&lt;&gt;"",AND($C84=$G84,$E84=$I84)),Puntos!$H$11,0)</f>
        <v>0</v>
      </c>
      <c r="L84" s="163"/>
      <c r="M84" s="274" t="str">
        <f>VLOOKUP(B83,tblEquipos,4,FALSE)</f>
        <v>GH</v>
      </c>
      <c r="N84" s="365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286" t="str">
        <f>'- G -'!B9</f>
        <v>EEUU</v>
      </c>
      <c r="C85" s="287"/>
      <c r="D85" s="302" t="s">
        <v>522</v>
      </c>
      <c r="E85" s="287"/>
      <c r="F85" s="289" t="str">
        <f>'- G -'!F9</f>
        <v>Portugal</v>
      </c>
      <c r="G85" s="290" t="str">
        <f>IF('- G -'!$C$9="","",'- G -'!$C$9)</f>
        <v/>
      </c>
      <c r="H85" s="291" t="s">
        <v>24</v>
      </c>
      <c r="I85" s="290" t="str">
        <f>IF('- G -'!$E$9="","",'- G -'!$E$9)</f>
        <v/>
      </c>
      <c r="J85" s="292">
        <f>IF(AND($C85&lt;&gt;"",$E85&lt;&gt;"",$G85&lt;&gt;"",$I85&lt;&gt;"",OR(AND($C85&gt;$E85,$G85&gt;$I85),AND($C85=$E85,$G85=$I85),AND($C85&lt;$E85,$G85&lt;$I85))),Puntos!$H$10,0)</f>
        <v>0</v>
      </c>
      <c r="K85" s="292">
        <f>IF(AND($C85&lt;&gt;"",$E85&lt;&gt;"",$G85&lt;&gt;"",$I85&lt;&gt;"",AND($C85=$G85,$E85=$I85)),Puntos!$H$11,0)</f>
        <v>0</v>
      </c>
      <c r="L85" s="163"/>
      <c r="M85" s="274" t="str">
        <f>VLOOKUP(F83,tblEquipos,4,FALSE)</f>
        <v>US</v>
      </c>
      <c r="N85" s="365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286" t="str">
        <f>'- G -'!B10</f>
        <v>EEUU</v>
      </c>
      <c r="C86" s="287"/>
      <c r="D86" s="302" t="s">
        <v>522</v>
      </c>
      <c r="E86" s="287"/>
      <c r="F86" s="289" t="str">
        <f>'- G -'!F10</f>
        <v>Alemania</v>
      </c>
      <c r="G86" s="290" t="str">
        <f>IF('- G -'!$C$10="","",'- G -'!$C$10)</f>
        <v/>
      </c>
      <c r="H86" s="291" t="s">
        <v>24</v>
      </c>
      <c r="I86" s="290" t="str">
        <f>IF('- G -'!$E$10="","",'- G -'!$E$10)</f>
        <v/>
      </c>
      <c r="J86" s="292">
        <f>IF(AND($C86&lt;&gt;"",$E86&lt;&gt;"",$G86&lt;&gt;"",$I86&lt;&gt;"",OR(AND($C86&gt;$E86,$G86&gt;$I86),AND($C86=$E86,$G86=$I86),AND($C86&lt;$E86,$G86&lt;$I86))),Puntos!$H$10,0)</f>
        <v>0</v>
      </c>
      <c r="K86" s="292">
        <f>IF(AND($C86&lt;&gt;"",$E86&lt;&gt;"",$G86&lt;&gt;"",$I86&lt;&gt;"",AND($C86=$G86,$E86=$I86)),Puntos!$H$11,0)</f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03" t="str">
        <f>'- G -'!B11</f>
        <v>Portugal</v>
      </c>
      <c r="C87" s="304"/>
      <c r="D87" s="305" t="s">
        <v>522</v>
      </c>
      <c r="E87" s="304"/>
      <c r="F87" s="306" t="str">
        <f>'- G -'!F11</f>
        <v>Ghana</v>
      </c>
      <c r="G87" s="307" t="str">
        <f>IF('- G -'!$C$11="","",'- G -'!$C$11)</f>
        <v/>
      </c>
      <c r="H87" s="308" t="s">
        <v>24</v>
      </c>
      <c r="I87" s="307" t="str">
        <f>IF('- G -'!$E$11="","",'- G -'!$E$11)</f>
        <v/>
      </c>
      <c r="J87" s="309">
        <f>IF(AND($C87&lt;&gt;"",$E87&lt;&gt;"",$G87&lt;&gt;"",$I87&lt;&gt;"",OR(AND($C87&gt;$E87,$G87&gt;$I87),AND($C87=$E87,$G87=$I87),AND($C87&lt;$E87,$G87&lt;$I87))),Puntos!$H$10,0)</f>
        <v>0</v>
      </c>
      <c r="K87" s="309">
        <f>IF(AND($C87&lt;&gt;"",$E87&lt;&gt;"",$G87&lt;&gt;"",$I87&lt;&gt;"",AND($C87=$G87,$E87=$I87)),Puntos!$H$11,0)</f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267" t="str">
        <f>'- H -'!B6</f>
        <v>Bélgica</v>
      </c>
      <c r="C93" s="268"/>
      <c r="D93" s="269" t="s">
        <v>522</v>
      </c>
      <c r="E93" s="268"/>
      <c r="F93" s="270" t="str">
        <f>'- H -'!F6</f>
        <v>Argelia</v>
      </c>
      <c r="G93" s="271" t="str">
        <f>IF('- H -'!$C$6="","",'- H -'!$C$6)</f>
        <v/>
      </c>
      <c r="H93" s="272" t="s">
        <v>24</v>
      </c>
      <c r="I93" s="271" t="str">
        <f>IF('- H -'!$E$6="","",'- H -'!$E$6)</f>
        <v/>
      </c>
      <c r="J93" s="273">
        <f>IF(AND($C93&lt;&gt;"",$E93&lt;&gt;"",$G93&lt;&gt;"",$I93&lt;&gt;"",OR(AND($C93&gt;$E93,$G93&gt;$I93),AND($C93=$E93,$G93=$I93),AND($C93&lt;$E93,$G93&lt;$I93))),Puntos!$H$10,0)</f>
        <v>0</v>
      </c>
      <c r="K93" s="273">
        <f>IF(AND($C93&lt;&gt;"",$E93&lt;&gt;"",$G93&lt;&gt;"",$I93&lt;&gt;"",AND($C93=$G93,$E93=$I93)),Puntos!$H$11,0)</f>
        <v>0</v>
      </c>
      <c r="L93" s="163"/>
      <c r="M93" s="274" t="str">
        <f>VLOOKUP(B93,tblEquipos,4,FALSE)</f>
        <v>BE</v>
      </c>
      <c r="N93" s="365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286" t="str">
        <f>'- H -'!B7</f>
        <v>Rusia</v>
      </c>
      <c r="C94" s="287"/>
      <c r="D94" s="288" t="s">
        <v>522</v>
      </c>
      <c r="E94" s="287"/>
      <c r="F94" s="289" t="str">
        <f>'- H -'!F7</f>
        <v>República de Corea</v>
      </c>
      <c r="G94" s="290" t="str">
        <f>IF('- H -'!$C$7="","",'- H -'!$C$7)</f>
        <v/>
      </c>
      <c r="H94" s="291" t="s">
        <v>24</v>
      </c>
      <c r="I94" s="290" t="str">
        <f>IF('- H -'!$E$7="","",'- H -'!$E$7)</f>
        <v/>
      </c>
      <c r="J94" s="292">
        <f>IF(AND($C94&lt;&gt;"",$E94&lt;&gt;"",$G94&lt;&gt;"",$I94&lt;&gt;"",OR(AND($C94&gt;$E94,$G94&gt;$I94),AND($C94=$E94,$G94=$I94),AND($C94&lt;$E94,$G94&lt;$I94))),Puntos!$H$10,0)</f>
        <v>0</v>
      </c>
      <c r="K94" s="292">
        <f>IF(AND($C94&lt;&gt;"",$E94&lt;&gt;"",$G94&lt;&gt;"",$I94&lt;&gt;"",AND($C94=$G94,$E94=$I94)),Puntos!$H$11,0)</f>
        <v>0</v>
      </c>
      <c r="L94" s="163"/>
      <c r="M94" s="274" t="str">
        <f>VLOOKUP(F93,tblEquipos,4,FALSE)</f>
        <v>DZ</v>
      </c>
      <c r="N94" s="365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286" t="str">
        <f>'- H -'!B8</f>
        <v>Bélgica</v>
      </c>
      <c r="C95" s="287"/>
      <c r="D95" s="302" t="s">
        <v>522</v>
      </c>
      <c r="E95" s="287"/>
      <c r="F95" s="289" t="str">
        <f>'- H -'!F8</f>
        <v>Rusia</v>
      </c>
      <c r="G95" s="290" t="str">
        <f>IF('- H -'!$C$8="","",'- H -'!$C$8)</f>
        <v/>
      </c>
      <c r="H95" s="291" t="s">
        <v>24</v>
      </c>
      <c r="I95" s="290" t="str">
        <f>IF('- H -'!$E$8="","",'- H -'!$E$8)</f>
        <v/>
      </c>
      <c r="J95" s="292">
        <f>IF(AND($C95&lt;&gt;"",$E95&lt;&gt;"",$G95&lt;&gt;"",$I95&lt;&gt;"",OR(AND($C95&gt;$E95,$G95&gt;$I95),AND($C95=$E95,$G95=$I95),AND($C95&lt;$E95,$G95&lt;$I95))),Puntos!$H$10,0)</f>
        <v>0</v>
      </c>
      <c r="K95" s="292">
        <f>IF(AND($C95&lt;&gt;"",$E95&lt;&gt;"",$G95&lt;&gt;"",$I95&lt;&gt;"",AND($C95=$G95,$E95=$I95)),Puntos!$H$11,0)</f>
        <v>0</v>
      </c>
      <c r="L95" s="163"/>
      <c r="M95" s="274" t="str">
        <f>VLOOKUP(B94,tblEquipos,4,FALSE)</f>
        <v>RU</v>
      </c>
      <c r="N95" s="365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286" t="str">
        <f>'- H -'!B9</f>
        <v>República de Corea</v>
      </c>
      <c r="C96" s="287"/>
      <c r="D96" s="302" t="s">
        <v>522</v>
      </c>
      <c r="E96" s="287"/>
      <c r="F96" s="289" t="str">
        <f>'- H -'!F9</f>
        <v>Argelia</v>
      </c>
      <c r="G96" s="290" t="str">
        <f>IF('- H -'!$C$9="","",'- H -'!$C$9)</f>
        <v/>
      </c>
      <c r="H96" s="291" t="s">
        <v>24</v>
      </c>
      <c r="I96" s="290" t="str">
        <f>IF('- H -'!$E$9="","",'- H -'!$E$9)</f>
        <v/>
      </c>
      <c r="J96" s="292">
        <f>IF(AND($C96&lt;&gt;"",$E96&lt;&gt;"",$G96&lt;&gt;"",$I96&lt;&gt;"",OR(AND($C96&gt;$E96,$G96&gt;$I96),AND($C96=$E96,$G96=$I96),AND($C96&lt;$E96,$G96&lt;$I96))),Puntos!$H$10,0)</f>
        <v>0</v>
      </c>
      <c r="K96" s="292">
        <f>IF(AND($C96&lt;&gt;"",$E96&lt;&gt;"",$G96&lt;&gt;"",$I96&lt;&gt;"",AND($C96=$G96,$E96=$I96)),Puntos!$H$11,0)</f>
        <v>0</v>
      </c>
      <c r="L96" s="163"/>
      <c r="M96" s="274" t="str">
        <f>VLOOKUP(F94,tblEquipos,4,FALSE)</f>
        <v>KR</v>
      </c>
      <c r="N96" s="365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286" t="str">
        <f>'- H -'!B10</f>
        <v>República de Corea</v>
      </c>
      <c r="C97" s="287"/>
      <c r="D97" s="302" t="s">
        <v>522</v>
      </c>
      <c r="E97" s="287"/>
      <c r="F97" s="289" t="str">
        <f>'- H -'!F10</f>
        <v>Bélgica</v>
      </c>
      <c r="G97" s="290" t="str">
        <f>IF('- H -'!$C$10="","",'- H -'!$C$10)</f>
        <v/>
      </c>
      <c r="H97" s="291" t="s">
        <v>24</v>
      </c>
      <c r="I97" s="290" t="str">
        <f>IF('- H -'!$E$10="","",'- H -'!$E$10)</f>
        <v/>
      </c>
      <c r="J97" s="292">
        <f>IF(AND($C97&lt;&gt;"",$E97&lt;&gt;"",$G97&lt;&gt;"",$I97&lt;&gt;"",OR(AND($C97&gt;$E97,$G97&gt;$I97),AND($C97=$E97,$G97=$I97),AND($C97&lt;$E97,$G97&lt;$I97))),Puntos!$H$10,0)</f>
        <v>0</v>
      </c>
      <c r="K97" s="292">
        <f>IF(AND($C97&lt;&gt;"",$E97&lt;&gt;"",$G97&lt;&gt;"",$I97&lt;&gt;"",AND($C97=$G97,$E97=$I97)),Puntos!$H$11,0)</f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03" t="str">
        <f>'- H -'!B11</f>
        <v>Argelia</v>
      </c>
      <c r="C98" s="304"/>
      <c r="D98" s="305" t="s">
        <v>522</v>
      </c>
      <c r="E98" s="304"/>
      <c r="F98" s="306" t="str">
        <f>'- H -'!F11</f>
        <v>Rusia</v>
      </c>
      <c r="G98" s="307" t="str">
        <f>IF('- H -'!$C$11="","",'- H -'!$C$11)</f>
        <v/>
      </c>
      <c r="H98" s="308" t="s">
        <v>24</v>
      </c>
      <c r="I98" s="307" t="str">
        <f>IF('- H -'!$E$11="","",'- H -'!$E$11)</f>
        <v/>
      </c>
      <c r="J98" s="309">
        <f>IF(AND($C98&lt;&gt;"",$E98&lt;&gt;"",$G98&lt;&gt;"",$I98&lt;&gt;"",OR(AND($C98&gt;$E98,$G98&gt;$I98),AND($C98=$E98,$G98=$I98),AND($C98&lt;$E98,$G98&lt;$I98))),Puntos!$H$10,0)</f>
        <v>0</v>
      </c>
      <c r="K98" s="309">
        <f>IF(AND($C98&lt;&gt;"",$E98&lt;&gt;"",$G98&lt;&gt;"",$I98&lt;&gt;"",AND($C98=$G98,$E98=$I98)),Puntos!$H$11,0)</f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AG12:AH12"/>
    <mergeCell ref="AG14:AH14"/>
    <mergeCell ref="AG28:AH28"/>
    <mergeCell ref="AG38:AH38"/>
    <mergeCell ref="AG46:AH46"/>
    <mergeCell ref="Q7:X7"/>
    <mergeCell ref="AB7:AF7"/>
    <mergeCell ref="D3:I3"/>
    <mergeCell ref="D4:I4"/>
    <mergeCell ref="Q4:X4"/>
    <mergeCell ref="D5:I5"/>
    <mergeCell ref="Q5:R5"/>
    <mergeCell ref="B14:F15"/>
    <mergeCell ref="P14:V15"/>
    <mergeCell ref="W14:AB14"/>
    <mergeCell ref="AC14:AF14"/>
    <mergeCell ref="W15:AB15"/>
    <mergeCell ref="D10:I10"/>
    <mergeCell ref="B12:N12"/>
    <mergeCell ref="P12:AD12"/>
    <mergeCell ref="AE12:AF12"/>
    <mergeCell ref="B2:C10"/>
    <mergeCell ref="D9:I9"/>
    <mergeCell ref="Q9:X9"/>
    <mergeCell ref="AB5:AF5"/>
    <mergeCell ref="D6:I6"/>
    <mergeCell ref="Q6:X6"/>
    <mergeCell ref="D2:I2"/>
    <mergeCell ref="P2:X3"/>
    <mergeCell ref="AB2:AF2"/>
    <mergeCell ref="D8:I8"/>
    <mergeCell ref="Q8:X8"/>
    <mergeCell ref="D7:I7"/>
    <mergeCell ref="B25:F26"/>
    <mergeCell ref="AC25:AF25"/>
    <mergeCell ref="P28:V29"/>
    <mergeCell ref="W28:AB28"/>
    <mergeCell ref="AC28:AF28"/>
    <mergeCell ref="W29:AB29"/>
    <mergeCell ref="AC43:AF43"/>
    <mergeCell ref="P46:V47"/>
    <mergeCell ref="W46:AB46"/>
    <mergeCell ref="AC46:AF46"/>
    <mergeCell ref="AC35:AF35"/>
    <mergeCell ref="B36:F37"/>
    <mergeCell ref="P38:V39"/>
    <mergeCell ref="W38:AB38"/>
    <mergeCell ref="AC38:AF38"/>
    <mergeCell ref="W39:Y39"/>
    <mergeCell ref="B47:F48"/>
    <mergeCell ref="W47:Y47"/>
    <mergeCell ref="AC49:AF49"/>
    <mergeCell ref="AC50:AF50"/>
    <mergeCell ref="B80:F81"/>
    <mergeCell ref="AC56:AF56"/>
    <mergeCell ref="P53:V54"/>
    <mergeCell ref="W53:AB53"/>
    <mergeCell ref="AC53:AF53"/>
    <mergeCell ref="W54:Y54"/>
    <mergeCell ref="B91:F92"/>
    <mergeCell ref="AC57:AF57"/>
    <mergeCell ref="B58:F59"/>
    <mergeCell ref="P60:V61"/>
    <mergeCell ref="X60:AB61"/>
    <mergeCell ref="B69:F70"/>
  </mergeCells>
  <phoneticPr fontId="108" type="noConversion"/>
  <conditionalFormatting sqref="C16:C21 E16:E21 C60:C65 E60:E65 C71:C76 E71:E76 C82:C87 E82:E87 C93:C98 E93:E98 Q16:Q23 U16:U23 Q30:Q33 U30:U33 Q40:Q41 U40:U41 Q48 U48 U55 Q55">
    <cfRule type="cellIs" dxfId="238" priority="12" stopIfTrue="1" operator="equal">
      <formula>""</formula>
    </cfRule>
  </conditionalFormatting>
  <conditionalFormatting sqref="R16:R23 T16:T23">
    <cfRule type="expression" dxfId="237" priority="11" stopIfTrue="1">
      <formula>IF(AND($Q16=$U16,$Q16&lt;&gt;"",$U16&lt;&gt;"",OR($R16="",$T16="")),1,0)=1</formula>
    </cfRule>
  </conditionalFormatting>
  <conditionalFormatting sqref="R30:R33 T30:T33">
    <cfRule type="expression" dxfId="236" priority="10" stopIfTrue="1">
      <formula>IF(AND($Q30=$U30,$Q30&lt;&gt;"",$U30&lt;&gt;"",OR($R30="",$T30="")),1,0)=1</formula>
    </cfRule>
  </conditionalFormatting>
  <conditionalFormatting sqref="R40:R41 T40:T41">
    <cfRule type="expression" dxfId="235" priority="9" stopIfTrue="1">
      <formula>IF(AND($Q40=$U40,$Q40&lt;&gt;"",$U40&lt;&gt;"",OR($R40="",$T40="")),1,0)=1</formula>
    </cfRule>
  </conditionalFormatting>
  <conditionalFormatting sqref="R48 T48">
    <cfRule type="expression" dxfId="234" priority="8" stopIfTrue="1">
      <formula>IF(AND($Q48=$U48,$Q48&lt;&gt;"",$U48&lt;&gt;"",OR($R48="",$T48="")),1,0)=1</formula>
    </cfRule>
  </conditionalFormatting>
  <conditionalFormatting sqref="R55 T55">
    <cfRule type="expression" dxfId="233" priority="7" stopIfTrue="1">
      <formula>IF(AND($Q55=$U55,$Q55&lt;&gt;"",$U55&lt;&gt;"",OR($R55="",$T55="")),1,0)=1</formula>
    </cfRule>
  </conditionalFormatting>
  <conditionalFormatting sqref="Q4:Q9 R5">
    <cfRule type="expression" dxfId="232" priority="6" stopIfTrue="1">
      <formula>IF($Q4="",1,0)=1</formula>
    </cfRule>
  </conditionalFormatting>
  <conditionalFormatting sqref="C27:C32 E27:E32">
    <cfRule type="cellIs" dxfId="231" priority="5" stopIfTrue="1" operator="equal">
      <formula>""</formula>
    </cfRule>
  </conditionalFormatting>
  <conditionalFormatting sqref="C49:C54">
    <cfRule type="cellIs" dxfId="230" priority="1" stopIfTrue="1" operator="equal">
      <formula>""</formula>
    </cfRule>
  </conditionalFormatting>
  <conditionalFormatting sqref="E38:E43">
    <cfRule type="cellIs" dxfId="229" priority="4" stopIfTrue="1" operator="equal">
      <formula>""</formula>
    </cfRule>
  </conditionalFormatting>
  <conditionalFormatting sqref="E49:E54">
    <cfRule type="cellIs" dxfId="228" priority="3" stopIfTrue="1" operator="equal">
      <formula>""</formula>
    </cfRule>
  </conditionalFormatting>
  <conditionalFormatting sqref="C38:C43">
    <cfRule type="cellIs" dxfId="227" priority="2" stopIfTrue="1" operator="equal">
      <formula>""</formula>
    </cfRule>
  </conditionalFormatting>
  <hyperlinks>
    <hyperlink ref="AB2" location="Menu!A1" tooltip="Menu Principal" display="Menu Principal"/>
    <hyperlink ref="AB5:AF5" location="Quiniela!A1" tooltip="Copiar Quiniela (Formato Texto)" display="Copiar Quiniela (Formato Texto)"/>
    <hyperlink ref="AB7:AF7" location="Quiniela!A1" tooltip="Crear Quiniela (Archivo Excel)" display="Crear Quiniela (Archivo Excel)"/>
    <hyperlink ref="AB2:AF2" location="Quiniela!A1" tooltip="Menu Principal" display="Menu Principal"/>
  </hyperlinks>
  <pageMargins left="0.7" right="0.7" top="0.75" bottom="0.75" header="0.3" footer="0.3"/>
  <pageSetup orientation="portrait" horizontalDpi="0" verticalDpi="0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B57"/>
  <sheetViews>
    <sheetView workbookViewId="0">
      <selection activeCell="L6" sqref="L6:M6"/>
    </sheetView>
  </sheetViews>
  <sheetFormatPr defaultColWidth="11.42578125" defaultRowHeight="15" x14ac:dyDescent="0.25"/>
  <cols>
    <col min="1" max="2" width="3.7109375" customWidth="1"/>
    <col min="3" max="4" width="12.7109375" customWidth="1"/>
    <col min="5" max="6" width="4.7109375" customWidth="1"/>
    <col min="7" max="7" width="43.7109375" customWidth="1"/>
    <col min="8" max="8" width="13.7109375" customWidth="1"/>
    <col min="9" max="9" width="9.7109375" customWidth="1"/>
    <col min="10" max="10" width="4.7109375" customWidth="1"/>
    <col min="11" max="11" width="3.85546875" customWidth="1"/>
    <col min="12" max="56" width="11.7109375" customWidth="1"/>
  </cols>
  <sheetData>
    <row r="1" spans="1:28" ht="11.1" customHeight="1" x14ac:dyDescent="0.25">
      <c r="A1" s="163"/>
      <c r="B1" s="163"/>
      <c r="C1" s="163"/>
      <c r="D1" s="163"/>
      <c r="E1" s="163"/>
      <c r="F1" s="163"/>
      <c r="G1" s="163"/>
      <c r="H1" s="164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</row>
    <row r="2" spans="1:28" ht="11.1" customHeight="1" x14ac:dyDescent="0.25">
      <c r="A2" s="163"/>
      <c r="B2" s="163"/>
      <c r="C2" s="163"/>
      <c r="D2" s="163"/>
      <c r="E2" s="163"/>
      <c r="F2" s="163"/>
      <c r="G2" s="163"/>
      <c r="H2" s="164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</row>
    <row r="3" spans="1:28" ht="11.1" hidden="1" customHeight="1" x14ac:dyDescent="0.25">
      <c r="A3" s="163"/>
      <c r="B3" s="163"/>
      <c r="C3" s="163"/>
      <c r="D3" s="163"/>
      <c r="E3" s="163"/>
      <c r="F3" s="163"/>
      <c r="G3" s="163"/>
      <c r="H3" s="164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</row>
    <row r="4" spans="1:28" ht="11.1" hidden="1" customHeight="1" x14ac:dyDescent="0.25">
      <c r="A4" s="163"/>
      <c r="B4" s="163"/>
      <c r="C4" s="163"/>
      <c r="D4" s="163"/>
      <c r="E4" s="163"/>
      <c r="F4" s="163"/>
      <c r="G4" s="163"/>
      <c r="H4" s="164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</row>
    <row r="5" spans="1:28" ht="12" customHeight="1" thickBot="1" x14ac:dyDescent="0.3">
      <c r="A5" s="163"/>
      <c r="B5" s="163"/>
      <c r="C5" s="163"/>
      <c r="D5" s="163"/>
      <c r="E5" s="163"/>
      <c r="F5" s="163"/>
      <c r="G5" s="163"/>
      <c r="H5" s="164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</row>
    <row r="6" spans="1:28" ht="21.95" customHeight="1" thickTop="1" thickBot="1" x14ac:dyDescent="0.35">
      <c r="A6" s="163"/>
      <c r="B6" s="163"/>
      <c r="C6" s="163"/>
      <c r="D6" s="163"/>
      <c r="E6" s="644" t="s">
        <v>88</v>
      </c>
      <c r="F6" s="645"/>
      <c r="G6" s="645"/>
      <c r="H6" s="645"/>
      <c r="I6" s="646"/>
      <c r="J6" s="163"/>
      <c r="K6" s="163"/>
      <c r="L6" s="650" t="s">
        <v>41</v>
      </c>
      <c r="M6" s="650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</row>
    <row r="7" spans="1:28" ht="15" customHeight="1" x14ac:dyDescent="0.25">
      <c r="A7" s="163"/>
      <c r="B7" s="163"/>
      <c r="C7" s="163"/>
      <c r="D7" s="163"/>
      <c r="E7" s="165"/>
      <c r="F7" s="166"/>
      <c r="G7" s="166"/>
      <c r="H7" s="167"/>
      <c r="I7" s="168"/>
      <c r="J7" s="163"/>
      <c r="K7" s="163"/>
      <c r="L7" s="163"/>
      <c r="M7" s="163"/>
      <c r="N7" s="163"/>
      <c r="O7" s="163"/>
      <c r="P7" s="163"/>
      <c r="Q7" s="163"/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</row>
    <row r="8" spans="1:28" ht="15" customHeight="1" thickBot="1" x14ac:dyDescent="0.3">
      <c r="A8" s="163"/>
      <c r="B8" s="163"/>
      <c r="C8" s="163"/>
      <c r="D8" s="163"/>
      <c r="E8" s="165"/>
      <c r="F8" s="166"/>
      <c r="G8" s="166"/>
      <c r="H8" s="167"/>
      <c r="I8" s="168"/>
      <c r="J8" s="169"/>
      <c r="K8" s="163"/>
      <c r="L8" s="163"/>
      <c r="M8" s="163"/>
      <c r="N8" s="163"/>
      <c r="O8" s="163"/>
      <c r="P8" s="163"/>
      <c r="Q8" s="163"/>
      <c r="R8" s="163"/>
      <c r="S8" s="163"/>
      <c r="T8" s="163"/>
      <c r="U8" s="163"/>
      <c r="V8" s="163"/>
      <c r="W8" s="163"/>
      <c r="X8" s="163"/>
      <c r="Y8" s="163"/>
      <c r="Z8" s="163"/>
      <c r="AA8" s="163"/>
      <c r="AB8" s="163"/>
    </row>
    <row r="9" spans="1:28" ht="15" customHeight="1" thickBot="1" x14ac:dyDescent="0.3">
      <c r="A9" s="163"/>
      <c r="B9" s="163"/>
      <c r="C9" s="163"/>
      <c r="D9" s="163"/>
      <c r="E9" s="165"/>
      <c r="F9" s="166"/>
      <c r="G9" s="170" t="s">
        <v>89</v>
      </c>
      <c r="H9" s="171" t="s">
        <v>90</v>
      </c>
      <c r="I9" s="168"/>
      <c r="J9" s="169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</row>
    <row r="10" spans="1:28" ht="20.100000000000001" customHeight="1" x14ac:dyDescent="0.25">
      <c r="A10" s="163"/>
      <c r="B10" s="163"/>
      <c r="C10" s="163"/>
      <c r="D10" s="163"/>
      <c r="E10" s="165"/>
      <c r="F10" s="166"/>
      <c r="G10" s="172" t="s">
        <v>91</v>
      </c>
      <c r="H10" s="173">
        <v>3</v>
      </c>
      <c r="I10" s="168"/>
      <c r="J10" s="169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</row>
    <row r="11" spans="1:28" ht="20.100000000000001" customHeight="1" x14ac:dyDescent="0.25">
      <c r="A11" s="163"/>
      <c r="B11" s="163"/>
      <c r="C11" s="163"/>
      <c r="D11" s="163"/>
      <c r="E11" s="165"/>
      <c r="F11" s="166"/>
      <c r="G11" s="172" t="s">
        <v>92</v>
      </c>
      <c r="H11" s="173">
        <v>5</v>
      </c>
      <c r="I11" s="168"/>
      <c r="J11" s="169"/>
      <c r="K11" s="163"/>
      <c r="L11" s="163"/>
      <c r="M11" s="163"/>
      <c r="N11" s="163"/>
      <c r="O11" s="163"/>
      <c r="P11" s="163"/>
      <c r="Q11" s="163"/>
      <c r="R11" s="163"/>
      <c r="S11" s="163"/>
      <c r="T11" s="163"/>
      <c r="U11" s="163"/>
      <c r="V11" s="163"/>
      <c r="W11" s="163"/>
      <c r="X11" s="163"/>
      <c r="Y11" s="163"/>
      <c r="Z11" s="163"/>
      <c r="AA11" s="163"/>
      <c r="AB11" s="163"/>
    </row>
    <row r="12" spans="1:28" ht="20.100000000000001" customHeight="1" x14ac:dyDescent="0.25">
      <c r="A12" s="163"/>
      <c r="B12" s="163"/>
      <c r="C12" s="163"/>
      <c r="D12" s="163"/>
      <c r="E12" s="165"/>
      <c r="F12" s="166"/>
      <c r="G12" s="172" t="s">
        <v>93</v>
      </c>
      <c r="H12" s="173">
        <v>4</v>
      </c>
      <c r="I12" s="168"/>
      <c r="J12" s="169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</row>
    <row r="13" spans="1:28" ht="20.100000000000001" customHeight="1" x14ac:dyDescent="0.25">
      <c r="A13" s="163"/>
      <c r="B13" s="163"/>
      <c r="C13" s="163"/>
      <c r="D13" s="163"/>
      <c r="E13" s="165"/>
      <c r="F13" s="166"/>
      <c r="G13" s="172" t="s">
        <v>94</v>
      </c>
      <c r="H13" s="173">
        <v>7</v>
      </c>
      <c r="I13" s="168"/>
      <c r="J13" s="169"/>
      <c r="K13" s="163"/>
      <c r="L13" s="163"/>
      <c r="M13" s="163"/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</row>
    <row r="14" spans="1:28" ht="20.100000000000001" customHeight="1" x14ac:dyDescent="0.25">
      <c r="A14" s="163"/>
      <c r="B14" s="163"/>
      <c r="C14" s="163"/>
      <c r="D14" s="163"/>
      <c r="E14" s="165"/>
      <c r="F14" s="166"/>
      <c r="G14" s="172" t="s">
        <v>95</v>
      </c>
      <c r="H14" s="173">
        <v>10</v>
      </c>
      <c r="I14" s="168"/>
      <c r="J14" s="169"/>
      <c r="K14" s="163"/>
      <c r="L14" s="163"/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</row>
    <row r="15" spans="1:28" ht="20.100000000000001" customHeight="1" x14ac:dyDescent="0.25">
      <c r="A15" s="163"/>
      <c r="B15" s="163"/>
      <c r="C15" s="163"/>
      <c r="D15" s="163"/>
      <c r="E15" s="165"/>
      <c r="F15" s="166"/>
      <c r="G15" s="172" t="s">
        <v>96</v>
      </c>
      <c r="H15" s="173">
        <v>15</v>
      </c>
      <c r="I15" s="168"/>
      <c r="J15" s="169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</row>
    <row r="16" spans="1:28" ht="20.100000000000001" customHeight="1" x14ac:dyDescent="0.25">
      <c r="A16" s="163"/>
      <c r="B16" s="163"/>
      <c r="C16" s="163"/>
      <c r="D16" s="163"/>
      <c r="E16" s="165"/>
      <c r="F16" s="166"/>
      <c r="G16" s="172" t="s">
        <v>97</v>
      </c>
      <c r="H16" s="173">
        <v>20</v>
      </c>
      <c r="I16" s="168"/>
      <c r="J16" s="169"/>
      <c r="K16" s="163"/>
      <c r="L16" s="163"/>
      <c r="M16" s="163"/>
      <c r="N16" s="163"/>
      <c r="O16" s="163"/>
      <c r="P16" s="163"/>
      <c r="Q16" s="163"/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</row>
    <row r="17" spans="1:28" ht="20.100000000000001" customHeight="1" x14ac:dyDescent="0.25">
      <c r="A17" s="163"/>
      <c r="B17" s="163"/>
      <c r="C17" s="163"/>
      <c r="D17" s="163"/>
      <c r="E17" s="165"/>
      <c r="F17" s="166"/>
      <c r="G17" s="172" t="s">
        <v>552</v>
      </c>
      <c r="H17" s="173">
        <v>25</v>
      </c>
      <c r="I17" s="168"/>
      <c r="J17" s="169"/>
      <c r="K17" s="163"/>
      <c r="L17" s="163"/>
      <c r="M17" s="163"/>
      <c r="N17" s="163"/>
      <c r="O17" s="163"/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</row>
    <row r="18" spans="1:28" ht="20.100000000000001" customHeight="1" thickBot="1" x14ac:dyDescent="0.3">
      <c r="A18" s="163"/>
      <c r="B18" s="163"/>
      <c r="C18" s="163"/>
      <c r="D18" s="163"/>
      <c r="E18" s="165"/>
      <c r="F18" s="166"/>
      <c r="G18" s="174" t="s">
        <v>98</v>
      </c>
      <c r="H18" s="175">
        <v>30</v>
      </c>
      <c r="I18" s="168"/>
      <c r="J18" s="169"/>
      <c r="K18" s="163"/>
      <c r="L18" s="163"/>
      <c r="M18" s="163"/>
      <c r="N18" s="163"/>
      <c r="O18" s="163"/>
      <c r="P18" s="163"/>
      <c r="Q18" s="163"/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</row>
    <row r="19" spans="1:28" ht="15" customHeight="1" x14ac:dyDescent="0.25">
      <c r="A19" s="163"/>
      <c r="B19" s="163"/>
      <c r="C19" s="163"/>
      <c r="D19" s="163"/>
      <c r="E19" s="165"/>
      <c r="F19" s="166"/>
      <c r="G19" s="166"/>
      <c r="H19" s="167"/>
      <c r="I19" s="168"/>
      <c r="J19" s="169"/>
      <c r="K19" s="163"/>
      <c r="L19" s="163"/>
      <c r="M19" s="163"/>
      <c r="N19" s="163"/>
      <c r="O19" s="163"/>
      <c r="P19" s="163"/>
      <c r="Q19" s="163"/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</row>
    <row r="20" spans="1:28" ht="15" customHeight="1" thickBot="1" x14ac:dyDescent="0.3">
      <c r="A20" s="163"/>
      <c r="B20" s="163"/>
      <c r="C20" s="163"/>
      <c r="D20" s="163"/>
      <c r="E20" s="176"/>
      <c r="F20" s="177"/>
      <c r="G20" s="177"/>
      <c r="H20" s="178"/>
      <c r="I20" s="179"/>
      <c r="J20" s="169"/>
      <c r="K20" s="163"/>
      <c r="L20" s="163"/>
      <c r="M20" s="163"/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</row>
    <row r="21" spans="1:28" ht="24.95" customHeight="1" thickTop="1" x14ac:dyDescent="0.25">
      <c r="A21" s="163"/>
      <c r="B21" s="163"/>
      <c r="C21" s="163"/>
      <c r="D21" s="163"/>
      <c r="E21" s="163"/>
      <c r="F21" s="169"/>
      <c r="G21" s="169"/>
      <c r="H21" s="169"/>
      <c r="I21" s="169"/>
      <c r="J21" s="169"/>
      <c r="K21" s="163"/>
      <c r="L21" s="163"/>
      <c r="M21" s="163"/>
      <c r="N21" s="163"/>
      <c r="O21" s="163"/>
      <c r="P21" s="163"/>
      <c r="Q21" s="163"/>
      <c r="R21" s="163"/>
      <c r="S21" s="163"/>
      <c r="T21" s="163"/>
      <c r="U21" s="163"/>
      <c r="V21" s="163"/>
      <c r="W21" s="163"/>
      <c r="X21" s="163"/>
      <c r="Y21" s="163"/>
      <c r="Z21" s="163"/>
      <c r="AA21" s="163"/>
      <c r="AB21" s="163"/>
    </row>
    <row r="22" spans="1:28" ht="11.1" customHeight="1" thickBot="1" x14ac:dyDescent="0.3">
      <c r="A22" s="163"/>
      <c r="B22" s="163"/>
      <c r="C22" s="163"/>
      <c r="D22" s="163"/>
      <c r="E22" s="163"/>
      <c r="F22" s="163"/>
      <c r="G22" s="163"/>
      <c r="H22" s="164"/>
      <c r="I22" s="163"/>
      <c r="J22" s="163"/>
      <c r="K22" s="163"/>
      <c r="L22" s="163"/>
      <c r="M22" s="163"/>
      <c r="N22" s="163"/>
      <c r="O22" s="163"/>
      <c r="P22" s="163"/>
      <c r="Q22" s="163"/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</row>
    <row r="23" spans="1:28" ht="22.5" customHeight="1" thickBot="1" x14ac:dyDescent="0.3">
      <c r="A23" s="163"/>
      <c r="B23" s="163"/>
      <c r="C23" s="163"/>
      <c r="D23" s="163"/>
      <c r="E23" s="375"/>
      <c r="F23" s="647" t="s">
        <v>556</v>
      </c>
      <c r="G23" s="648"/>
      <c r="H23" s="649"/>
      <c r="I23" s="376" t="s">
        <v>557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</row>
    <row r="24" spans="1:28" ht="11.1" customHeight="1" x14ac:dyDescent="0.25">
      <c r="A24" s="163"/>
      <c r="B24" s="163"/>
      <c r="C24" s="163"/>
      <c r="D24" s="163"/>
      <c r="E24" s="163"/>
      <c r="F24" s="163"/>
      <c r="G24" s="163"/>
      <c r="H24" s="164"/>
      <c r="I24" s="163"/>
      <c r="J24" s="163"/>
      <c r="K24" s="163"/>
      <c r="L24" s="163"/>
      <c r="M24" s="163"/>
      <c r="N24" s="163"/>
      <c r="O24" s="163"/>
      <c r="P24" s="163"/>
      <c r="Q24" s="163"/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</row>
    <row r="25" spans="1:28" ht="11.1" customHeight="1" x14ac:dyDescent="0.25">
      <c r="A25" s="163"/>
      <c r="B25" s="163"/>
      <c r="C25" s="163"/>
      <c r="D25" s="163"/>
      <c r="E25" s="163"/>
      <c r="F25" s="163"/>
      <c r="G25" s="163"/>
      <c r="H25" s="164"/>
      <c r="I25" s="163"/>
      <c r="J25" s="163"/>
      <c r="K25" s="163"/>
      <c r="L25" s="163"/>
      <c r="M25" s="163"/>
      <c r="N25" s="163"/>
      <c r="O25" s="163"/>
      <c r="P25" s="163"/>
      <c r="Q25" s="163"/>
      <c r="R25" s="163"/>
      <c r="S25" s="163"/>
      <c r="T25" s="163"/>
      <c r="U25" s="163"/>
      <c r="V25" s="163"/>
      <c r="W25" s="163"/>
      <c r="X25" s="163"/>
      <c r="Y25" s="163"/>
      <c r="Z25" s="163"/>
      <c r="AA25" s="163"/>
      <c r="AB25" s="163"/>
    </row>
    <row r="26" spans="1:28" ht="11.1" customHeight="1" x14ac:dyDescent="0.25">
      <c r="A26" s="163"/>
      <c r="B26" s="163"/>
      <c r="C26" s="163"/>
      <c r="D26" s="163"/>
      <c r="E26" s="163"/>
      <c r="F26" s="163"/>
      <c r="G26" s="163"/>
      <c r="H26" s="164"/>
      <c r="I26" s="163"/>
      <c r="J26" s="163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3"/>
      <c r="Z26" s="163"/>
      <c r="AA26" s="163"/>
      <c r="AB26" s="163"/>
    </row>
    <row r="27" spans="1:28" ht="11.1" customHeight="1" x14ac:dyDescent="0.25">
      <c r="A27" s="163"/>
      <c r="B27" s="163"/>
      <c r="C27" s="163"/>
      <c r="D27" s="163"/>
      <c r="E27" s="163"/>
      <c r="F27" s="163"/>
      <c r="G27" s="163"/>
      <c r="H27" s="164"/>
      <c r="I27" s="377" t="s">
        <v>558</v>
      </c>
      <c r="J27" s="163"/>
      <c r="K27" s="163"/>
      <c r="L27" s="163"/>
      <c r="M27" s="163"/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</row>
    <row r="28" spans="1:28" ht="11.1" customHeight="1" x14ac:dyDescent="0.25">
      <c r="A28" s="163"/>
      <c r="B28" s="163"/>
      <c r="C28" s="163"/>
      <c r="D28" s="163"/>
      <c r="E28" s="163"/>
      <c r="F28" s="163"/>
      <c r="G28" s="163"/>
      <c r="H28" s="164"/>
      <c r="I28" s="377" t="s">
        <v>557</v>
      </c>
      <c r="J28" s="163"/>
      <c r="K28" s="163"/>
      <c r="L28" s="163"/>
      <c r="M28" s="163"/>
      <c r="N28" s="163"/>
      <c r="O28" s="163"/>
      <c r="P28" s="163"/>
      <c r="Q28" s="163"/>
      <c r="R28" s="163"/>
      <c r="S28" s="163"/>
      <c r="T28" s="163"/>
      <c r="U28" s="163"/>
      <c r="V28" s="163"/>
      <c r="W28" s="163"/>
      <c r="X28" s="163"/>
      <c r="Y28" s="163"/>
      <c r="Z28" s="163"/>
      <c r="AA28" s="163"/>
      <c r="AB28" s="163"/>
    </row>
    <row r="29" spans="1:28" ht="11.1" customHeight="1" x14ac:dyDescent="0.25">
      <c r="A29" s="163"/>
      <c r="B29" s="163"/>
      <c r="C29" s="163"/>
      <c r="D29" s="163"/>
      <c r="E29" s="163"/>
      <c r="F29" s="163"/>
      <c r="G29" s="163"/>
      <c r="H29" s="164"/>
      <c r="I29" s="163"/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/>
      <c r="W29" s="163"/>
      <c r="X29" s="163"/>
      <c r="Y29" s="163"/>
      <c r="Z29" s="163"/>
      <c r="AA29" s="163"/>
      <c r="AB29" s="163"/>
    </row>
    <row r="30" spans="1:28" ht="11.1" customHeight="1" x14ac:dyDescent="0.25">
      <c r="A30" s="163"/>
      <c r="B30" s="163"/>
      <c r="C30" s="163"/>
      <c r="D30" s="163"/>
      <c r="E30" s="163"/>
      <c r="F30" s="163"/>
      <c r="G30" s="163"/>
      <c r="H30" s="164"/>
      <c r="I30" s="163"/>
      <c r="J30" s="163"/>
      <c r="K30" s="163"/>
      <c r="L30" s="163"/>
      <c r="M30" s="163"/>
      <c r="N30" s="163"/>
      <c r="O30" s="163"/>
      <c r="P30" s="163"/>
      <c r="Q30" s="163"/>
      <c r="R30" s="163"/>
      <c r="S30" s="163"/>
      <c r="T30" s="163"/>
      <c r="U30" s="163"/>
      <c r="V30" s="163"/>
      <c r="W30" s="163"/>
      <c r="X30" s="163"/>
      <c r="Y30" s="163"/>
      <c r="Z30" s="163"/>
      <c r="AA30" s="163"/>
      <c r="AB30" s="163"/>
    </row>
    <row r="31" spans="1:28" ht="11.1" customHeight="1" x14ac:dyDescent="0.25">
      <c r="A31" s="163"/>
      <c r="B31" s="163"/>
      <c r="C31" s="163"/>
      <c r="D31" s="163"/>
      <c r="E31" s="163"/>
      <c r="F31" s="163"/>
      <c r="G31" s="163"/>
      <c r="H31" s="164"/>
      <c r="I31" s="163"/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</row>
    <row r="32" spans="1:28" ht="11.1" customHeight="1" x14ac:dyDescent="0.25">
      <c r="A32" s="163"/>
      <c r="B32" s="163"/>
      <c r="C32" s="163"/>
      <c r="D32" s="163"/>
      <c r="E32" s="163"/>
      <c r="F32" s="163"/>
      <c r="G32" s="163"/>
      <c r="H32" s="164"/>
      <c r="I32" s="163"/>
      <c r="J32" s="163"/>
      <c r="K32" s="163"/>
      <c r="L32" s="163"/>
      <c r="M32" s="163"/>
      <c r="N32" s="163"/>
      <c r="O32" s="163"/>
      <c r="P32" s="163"/>
      <c r="Q32" s="163"/>
      <c r="R32" s="163"/>
      <c r="S32" s="163"/>
      <c r="T32" s="163"/>
      <c r="U32" s="163"/>
      <c r="V32" s="163"/>
      <c r="W32" s="163"/>
      <c r="X32" s="163"/>
      <c r="Y32" s="163"/>
      <c r="Z32" s="163"/>
      <c r="AA32" s="163"/>
      <c r="AB32" s="163"/>
    </row>
    <row r="33" spans="1:28" ht="11.1" customHeight="1" x14ac:dyDescent="0.25">
      <c r="A33" s="163"/>
      <c r="B33" s="163"/>
      <c r="C33" s="163"/>
      <c r="D33" s="163"/>
      <c r="E33" s="163"/>
      <c r="F33" s="163"/>
      <c r="G33" s="163"/>
      <c r="H33" s="164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</row>
    <row r="34" spans="1:28" ht="11.1" customHeight="1" x14ac:dyDescent="0.25">
      <c r="A34" s="163"/>
      <c r="B34" s="163"/>
      <c r="C34" s="163"/>
      <c r="D34" s="163"/>
      <c r="E34" s="163"/>
      <c r="F34" s="163"/>
      <c r="G34" s="163"/>
      <c r="H34" s="164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</row>
    <row r="35" spans="1:28" ht="11.1" customHeight="1" x14ac:dyDescent="0.25">
      <c r="A35" s="163"/>
      <c r="B35" s="163"/>
      <c r="C35" s="163"/>
      <c r="D35" s="163"/>
      <c r="E35" s="163"/>
      <c r="F35" s="163"/>
      <c r="G35" s="163"/>
      <c r="H35" s="164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</row>
    <row r="36" spans="1:28" ht="11.1" customHeight="1" x14ac:dyDescent="0.25">
      <c r="A36" s="163"/>
      <c r="B36" s="163"/>
      <c r="C36" s="163"/>
      <c r="D36" s="163"/>
      <c r="E36" s="163"/>
      <c r="F36" s="163"/>
      <c r="G36" s="163"/>
      <c r="H36" s="164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</row>
    <row r="37" spans="1:28" ht="11.1" customHeight="1" x14ac:dyDescent="0.25">
      <c r="A37" s="163"/>
      <c r="B37" s="163"/>
      <c r="C37" s="163"/>
      <c r="D37" s="163"/>
      <c r="E37" s="163"/>
      <c r="F37" s="163"/>
      <c r="G37" s="163"/>
      <c r="H37" s="164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</row>
    <row r="38" spans="1:28" ht="11.1" customHeight="1" x14ac:dyDescent="0.25">
      <c r="A38" s="163"/>
      <c r="B38" s="163"/>
      <c r="C38" s="163"/>
      <c r="D38" s="163"/>
      <c r="E38" s="163"/>
      <c r="F38" s="163"/>
      <c r="G38" s="163"/>
      <c r="H38" s="164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</row>
    <row r="39" spans="1:28" ht="11.1" customHeight="1" x14ac:dyDescent="0.25">
      <c r="A39" s="163"/>
      <c r="B39" s="163"/>
      <c r="C39" s="163"/>
      <c r="D39" s="163"/>
      <c r="E39" s="163"/>
      <c r="F39" s="163"/>
      <c r="G39" s="163"/>
      <c r="H39" s="164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</row>
    <row r="40" spans="1:28" ht="11.1" customHeight="1" x14ac:dyDescent="0.25">
      <c r="A40" s="163"/>
      <c r="B40" s="163"/>
      <c r="C40" s="163"/>
      <c r="D40" s="163"/>
      <c r="E40" s="163"/>
      <c r="F40" s="163"/>
      <c r="G40" s="163"/>
      <c r="H40" s="164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</row>
    <row r="41" spans="1:28" ht="11.1" customHeight="1" x14ac:dyDescent="0.25">
      <c r="A41" s="163"/>
      <c r="B41" s="163"/>
      <c r="C41" s="163"/>
      <c r="D41" s="163"/>
      <c r="E41" s="163"/>
      <c r="F41" s="163"/>
      <c r="G41" s="163"/>
      <c r="H41" s="164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</row>
    <row r="42" spans="1:28" ht="11.1" customHeight="1" x14ac:dyDescent="0.25">
      <c r="A42" s="163"/>
      <c r="B42" s="163"/>
      <c r="C42" s="163"/>
      <c r="D42" s="163"/>
      <c r="E42" s="163"/>
      <c r="F42" s="163"/>
      <c r="G42" s="163"/>
      <c r="H42" s="164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</row>
    <row r="43" spans="1:28" ht="11.1" customHeight="1" x14ac:dyDescent="0.25">
      <c r="A43" s="163"/>
      <c r="B43" s="163"/>
      <c r="C43" s="163"/>
      <c r="D43" s="163"/>
      <c r="E43" s="163"/>
      <c r="F43" s="163"/>
      <c r="G43" s="163"/>
      <c r="H43" s="164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</row>
    <row r="44" spans="1:28" ht="11.1" customHeight="1" x14ac:dyDescent="0.25">
      <c r="A44" s="163"/>
      <c r="B44" s="163"/>
      <c r="C44" s="163"/>
      <c r="D44" s="163"/>
      <c r="E44" s="163"/>
      <c r="F44" s="163"/>
      <c r="G44" s="163"/>
      <c r="H44" s="164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</row>
    <row r="45" spans="1:28" ht="11.1" customHeight="1" x14ac:dyDescent="0.25">
      <c r="A45" s="163"/>
      <c r="B45" s="163"/>
      <c r="C45" s="163"/>
      <c r="D45" s="163"/>
      <c r="E45" s="163"/>
      <c r="F45" s="163"/>
      <c r="G45" s="163"/>
      <c r="H45" s="164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</row>
    <row r="46" spans="1:28" ht="11.1" customHeight="1" x14ac:dyDescent="0.25">
      <c r="A46" s="163"/>
      <c r="B46" s="163"/>
      <c r="C46" s="163"/>
      <c r="D46" s="163"/>
      <c r="E46" s="163"/>
      <c r="F46" s="163"/>
      <c r="G46" s="163"/>
      <c r="H46" s="164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</row>
    <row r="47" spans="1:28" ht="11.1" customHeight="1" x14ac:dyDescent="0.25">
      <c r="A47" s="163"/>
      <c r="B47" s="163"/>
      <c r="C47" s="163"/>
      <c r="D47" s="163"/>
      <c r="E47" s="163"/>
      <c r="F47" s="163"/>
      <c r="G47" s="163"/>
      <c r="H47" s="164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</row>
    <row r="48" spans="1:28" ht="11.1" customHeight="1" x14ac:dyDescent="0.25">
      <c r="A48" s="163"/>
      <c r="B48" s="163"/>
      <c r="C48" s="163"/>
      <c r="D48" s="163"/>
      <c r="E48" s="163"/>
      <c r="F48" s="163"/>
      <c r="G48" s="163"/>
      <c r="H48" s="164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</row>
    <row r="49" spans="1:28" ht="11.1" customHeight="1" x14ac:dyDescent="0.25">
      <c r="A49" s="163"/>
      <c r="B49" s="163"/>
      <c r="C49" s="163"/>
      <c r="D49" s="163"/>
      <c r="E49" s="163"/>
      <c r="F49" s="163"/>
      <c r="G49" s="163"/>
      <c r="H49" s="164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</row>
    <row r="50" spans="1:28" ht="11.1" customHeight="1" x14ac:dyDescent="0.25">
      <c r="A50" s="163"/>
      <c r="B50" s="163"/>
      <c r="C50" s="163"/>
      <c r="D50" s="163"/>
      <c r="E50" s="163"/>
      <c r="F50" s="163"/>
      <c r="G50" s="163"/>
      <c r="H50" s="164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</row>
    <row r="51" spans="1:28" ht="11.1" customHeight="1" x14ac:dyDescent="0.25">
      <c r="A51" s="163"/>
      <c r="B51" s="163"/>
      <c r="C51" s="163"/>
      <c r="D51" s="163"/>
      <c r="E51" s="163"/>
      <c r="F51" s="163"/>
      <c r="G51" s="163"/>
      <c r="H51" s="164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</row>
    <row r="52" spans="1:28" ht="11.1" customHeight="1" x14ac:dyDescent="0.25">
      <c r="A52" s="163"/>
      <c r="B52" s="163"/>
      <c r="C52" s="163"/>
      <c r="D52" s="163"/>
      <c r="E52" s="163"/>
      <c r="F52" s="163"/>
      <c r="G52" s="163"/>
      <c r="H52" s="164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</row>
    <row r="53" spans="1:28" ht="11.1" customHeight="1" x14ac:dyDescent="0.25">
      <c r="A53" s="163"/>
      <c r="B53" s="163"/>
      <c r="C53" s="163"/>
      <c r="D53" s="163"/>
      <c r="E53" s="163"/>
      <c r="F53" s="163"/>
      <c r="G53" s="163"/>
      <c r="H53" s="164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</row>
    <row r="54" spans="1:28" ht="11.1" customHeight="1" x14ac:dyDescent="0.25">
      <c r="A54" s="163"/>
      <c r="B54" s="163"/>
      <c r="C54" s="163"/>
      <c r="D54" s="163"/>
      <c r="E54" s="163"/>
      <c r="F54" s="163"/>
      <c r="G54" s="163"/>
      <c r="H54" s="164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</row>
    <row r="55" spans="1:28" ht="11.1" customHeight="1" x14ac:dyDescent="0.25">
      <c r="A55" s="163"/>
      <c r="B55" s="163"/>
      <c r="C55" s="163"/>
      <c r="D55" s="163"/>
      <c r="E55" s="163"/>
      <c r="F55" s="163"/>
      <c r="G55" s="163"/>
      <c r="H55" s="164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</row>
    <row r="56" spans="1:28" ht="11.1" customHeight="1" x14ac:dyDescent="0.25">
      <c r="A56" s="163"/>
      <c r="B56" s="163"/>
      <c r="C56" s="163"/>
      <c r="D56" s="163"/>
      <c r="E56" s="163"/>
      <c r="F56" s="163"/>
      <c r="G56" s="163"/>
      <c r="H56" s="164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</row>
    <row r="57" spans="1:28" ht="11.1" customHeight="1" x14ac:dyDescent="0.25">
      <c r="A57" s="163"/>
      <c r="B57" s="163"/>
      <c r="C57" s="163"/>
      <c r="D57" s="163"/>
      <c r="E57" s="163"/>
      <c r="F57" s="163"/>
      <c r="G57" s="163"/>
      <c r="H57" s="164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</row>
  </sheetData>
  <mergeCells count="3">
    <mergeCell ref="E6:I6"/>
    <mergeCell ref="F23:H23"/>
    <mergeCell ref="L6:M6"/>
  </mergeCells>
  <phoneticPr fontId="108" type="noConversion"/>
  <dataValidations count="1">
    <dataValidation type="list" allowBlank="1" showInputMessage="1" showErrorMessage="1" sqref="I23">
      <formula1>$I$27:$I$28</formula1>
    </dataValidation>
  </dataValidations>
  <hyperlinks>
    <hyperlink ref="L6" location="Menu!A1" tooltip="Menu Principal" display="Menu Principal"/>
    <hyperlink ref="L6:M6" location="Estadisticas!A1" tooltip="Menu Principal" display="Menu Principal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Config"/>
  <dimension ref="A1:S266"/>
  <sheetViews>
    <sheetView workbookViewId="0">
      <selection activeCell="E85" sqref="E85:I86"/>
    </sheetView>
  </sheetViews>
  <sheetFormatPr defaultColWidth="11.42578125" defaultRowHeight="15" x14ac:dyDescent="0.25"/>
  <cols>
    <col min="1" max="1" width="31.7109375" customWidth="1"/>
    <col min="2" max="4" width="11.7109375" customWidth="1"/>
    <col min="5" max="5" width="7.7109375" customWidth="1"/>
    <col min="6" max="6" width="5.7109375" customWidth="1"/>
    <col min="7" max="7" width="12.7109375" customWidth="1"/>
    <col min="8" max="9" width="14.7109375" customWidth="1"/>
    <col min="10" max="10" width="12.7109375" customWidth="1"/>
    <col min="11" max="11" width="11.7109375" customWidth="1"/>
    <col min="12" max="12" width="9.7109375" customWidth="1"/>
    <col min="13" max="13" width="8.7109375" customWidth="1"/>
    <col min="14" max="14" width="11.7109375" customWidth="1"/>
    <col min="15" max="15" width="20.7109375" customWidth="1"/>
    <col min="16" max="16" width="4.7109375" customWidth="1"/>
    <col min="17" max="17" width="17.7109375" customWidth="1"/>
    <col min="18" max="56" width="11.7109375" customWidth="1"/>
  </cols>
  <sheetData>
    <row r="1" spans="1:19" ht="15.95" customHeight="1" x14ac:dyDescent="0.25">
      <c r="A1" s="180"/>
      <c r="B1" s="181"/>
      <c r="C1" s="182"/>
      <c r="D1" s="183" t="s">
        <v>99</v>
      </c>
      <c r="E1" s="184" t="s">
        <v>100</v>
      </c>
      <c r="F1" s="184" t="s">
        <v>101</v>
      </c>
      <c r="G1" s="183" t="s">
        <v>102</v>
      </c>
      <c r="H1" s="183" t="s">
        <v>103</v>
      </c>
      <c r="I1" s="183" t="s">
        <v>104</v>
      </c>
      <c r="J1" s="183" t="s">
        <v>105</v>
      </c>
      <c r="K1" s="183" t="s">
        <v>100</v>
      </c>
      <c r="L1" s="184" t="s">
        <v>106</v>
      </c>
      <c r="M1" s="184" t="s">
        <v>107</v>
      </c>
      <c r="N1" s="182"/>
      <c r="O1" s="182" t="s">
        <v>25</v>
      </c>
      <c r="P1" s="185"/>
      <c r="Q1" s="182" t="s">
        <v>25</v>
      </c>
      <c r="R1" s="182" t="s">
        <v>108</v>
      </c>
      <c r="S1" s="182"/>
    </row>
    <row r="2" spans="1:19" ht="15.95" customHeight="1" x14ac:dyDescent="0.25">
      <c r="A2" s="186"/>
      <c r="B2" s="187"/>
      <c r="C2" s="182"/>
      <c r="D2" s="188">
        <v>1</v>
      </c>
      <c r="E2" s="189">
        <v>41802.833333333336</v>
      </c>
      <c r="F2" s="190">
        <v>41802.833333333336</v>
      </c>
      <c r="G2" s="183" t="s">
        <v>109</v>
      </c>
      <c r="H2" s="183" t="s">
        <v>25</v>
      </c>
      <c r="I2" s="183" t="s">
        <v>26</v>
      </c>
      <c r="J2" s="183" t="s">
        <v>3</v>
      </c>
      <c r="K2" s="183" t="s">
        <v>110</v>
      </c>
      <c r="L2" s="189">
        <f>DATE(YEAR(E2+($B$3/24)),MONTH(E2+($B$3/24)),DAY(E2+($B$3/24)))</f>
        <v>41802</v>
      </c>
      <c r="M2" s="190">
        <f>F2+($B$3/24)</f>
        <v>41802.645833333336</v>
      </c>
      <c r="N2" s="182"/>
      <c r="O2" s="182" t="s">
        <v>27</v>
      </c>
      <c r="P2" s="185"/>
      <c r="Q2" s="182" t="s">
        <v>111</v>
      </c>
      <c r="R2" s="182" t="s">
        <v>112</v>
      </c>
      <c r="S2" s="182"/>
    </row>
    <row r="3" spans="1:19" ht="15.95" customHeight="1" x14ac:dyDescent="0.25">
      <c r="A3" s="191" t="s">
        <v>113</v>
      </c>
      <c r="B3" s="187">
        <f>VLOOKUP(Menu!I17,A4:B265,2,FALSE)</f>
        <v>-4.5</v>
      </c>
      <c r="C3" s="182"/>
      <c r="D3" s="188">
        <v>2</v>
      </c>
      <c r="E3" s="184">
        <v>41803.666666666664</v>
      </c>
      <c r="F3" s="190">
        <v>41803.666666666664</v>
      </c>
      <c r="G3" s="183" t="s">
        <v>114</v>
      </c>
      <c r="H3" s="183" t="s">
        <v>27</v>
      </c>
      <c r="I3" s="183" t="s">
        <v>28</v>
      </c>
      <c r="J3" s="183" t="s">
        <v>3</v>
      </c>
      <c r="K3" s="183" t="s">
        <v>110</v>
      </c>
      <c r="L3" s="189">
        <f t="shared" ref="L3:L65" si="0">DATE(YEAR(E3+($B$3/24)),MONTH(E3+($B$3/24)),DAY(E3+($B$3/24)))</f>
        <v>41803</v>
      </c>
      <c r="M3" s="190">
        <f t="shared" ref="M3:M65" si="1">F3+($B$3/24)</f>
        <v>41803.479166666664</v>
      </c>
      <c r="N3" s="182"/>
      <c r="O3" s="182" t="s">
        <v>26</v>
      </c>
      <c r="P3" s="185"/>
      <c r="Q3" s="182" t="s">
        <v>26</v>
      </c>
      <c r="R3" s="182" t="s">
        <v>115</v>
      </c>
      <c r="S3" s="182"/>
    </row>
    <row r="4" spans="1:19" ht="15.95" customHeight="1" x14ac:dyDescent="0.25">
      <c r="A4" s="191" t="s">
        <v>116</v>
      </c>
      <c r="B4" s="192">
        <v>4.5</v>
      </c>
      <c r="C4" s="182"/>
      <c r="D4" s="188">
        <v>17</v>
      </c>
      <c r="E4" s="184">
        <v>41807.791666666664</v>
      </c>
      <c r="F4" s="190">
        <v>41807.791666666664</v>
      </c>
      <c r="G4" s="183" t="s">
        <v>117</v>
      </c>
      <c r="H4" s="183" t="s">
        <v>25</v>
      </c>
      <c r="I4" s="183" t="s">
        <v>27</v>
      </c>
      <c r="J4" s="183" t="s">
        <v>3</v>
      </c>
      <c r="K4" s="183" t="s">
        <v>118</v>
      </c>
      <c r="L4" s="189">
        <f t="shared" si="0"/>
        <v>41807</v>
      </c>
      <c r="M4" s="190">
        <f t="shared" si="1"/>
        <v>41807.604166666664</v>
      </c>
      <c r="N4" s="182"/>
      <c r="O4" s="193" t="s">
        <v>28</v>
      </c>
      <c r="P4" s="185"/>
      <c r="Q4" s="193" t="s">
        <v>119</v>
      </c>
      <c r="R4" s="182" t="s">
        <v>120</v>
      </c>
      <c r="S4" s="182"/>
    </row>
    <row r="5" spans="1:19" ht="15.95" customHeight="1" x14ac:dyDescent="0.25">
      <c r="A5" s="191" t="s">
        <v>121</v>
      </c>
      <c r="B5" s="192">
        <v>1</v>
      </c>
      <c r="C5" s="182"/>
      <c r="D5" s="188">
        <v>18</v>
      </c>
      <c r="E5" s="184">
        <v>41808.916666666664</v>
      </c>
      <c r="F5" s="190">
        <v>41808.916666666664</v>
      </c>
      <c r="G5" s="183" t="s">
        <v>122</v>
      </c>
      <c r="H5" s="183" t="s">
        <v>28</v>
      </c>
      <c r="I5" s="183" t="s">
        <v>26</v>
      </c>
      <c r="J5" s="183" t="s">
        <v>3</v>
      </c>
      <c r="K5" s="183" t="s">
        <v>118</v>
      </c>
      <c r="L5" s="189">
        <f t="shared" si="0"/>
        <v>41808</v>
      </c>
      <c r="M5" s="190">
        <f t="shared" si="1"/>
        <v>41808.729166666664</v>
      </c>
      <c r="N5" s="182"/>
      <c r="O5" s="182" t="s">
        <v>43</v>
      </c>
      <c r="P5" s="185"/>
      <c r="Q5" s="182" t="s">
        <v>43</v>
      </c>
      <c r="R5" s="182" t="s">
        <v>123</v>
      </c>
      <c r="S5" s="182"/>
    </row>
    <row r="6" spans="1:19" ht="15.95" customHeight="1" x14ac:dyDescent="0.25">
      <c r="A6" s="191" t="s">
        <v>124</v>
      </c>
      <c r="B6" s="192">
        <v>1</v>
      </c>
      <c r="C6" s="182"/>
      <c r="D6" s="188">
        <v>33</v>
      </c>
      <c r="E6" s="184">
        <v>41813.833333333336</v>
      </c>
      <c r="F6" s="190">
        <v>41813.833333333336</v>
      </c>
      <c r="G6" s="183" t="s">
        <v>129</v>
      </c>
      <c r="H6" s="183" t="s">
        <v>26</v>
      </c>
      <c r="I6" s="183" t="s">
        <v>27</v>
      </c>
      <c r="J6" s="183" t="s">
        <v>3</v>
      </c>
      <c r="K6" s="183" t="s">
        <v>126</v>
      </c>
      <c r="L6" s="189">
        <f t="shared" si="0"/>
        <v>41813</v>
      </c>
      <c r="M6" s="190">
        <f t="shared" si="1"/>
        <v>41813.645833333336</v>
      </c>
      <c r="N6" s="182"/>
      <c r="O6" s="182" t="s">
        <v>45</v>
      </c>
      <c r="P6" s="185"/>
      <c r="Q6" s="182" t="s">
        <v>45</v>
      </c>
      <c r="R6" s="182" t="s">
        <v>127</v>
      </c>
      <c r="S6" s="182"/>
    </row>
    <row r="7" spans="1:19" ht="15.95" customHeight="1" x14ac:dyDescent="0.25">
      <c r="A7" s="191" t="s">
        <v>128</v>
      </c>
      <c r="B7" s="192">
        <v>1</v>
      </c>
      <c r="C7" s="182"/>
      <c r="D7" s="188">
        <v>34</v>
      </c>
      <c r="E7" s="184">
        <v>41813.833333333336</v>
      </c>
      <c r="F7" s="190">
        <v>41813.833333333336</v>
      </c>
      <c r="G7" s="183" t="s">
        <v>125</v>
      </c>
      <c r="H7" s="183" t="s">
        <v>28</v>
      </c>
      <c r="I7" s="183" t="s">
        <v>25</v>
      </c>
      <c r="J7" s="183" t="s">
        <v>3</v>
      </c>
      <c r="K7" s="183" t="s">
        <v>126</v>
      </c>
      <c r="L7" s="189">
        <f t="shared" si="0"/>
        <v>41813</v>
      </c>
      <c r="M7" s="190">
        <f t="shared" si="1"/>
        <v>41813.645833333336</v>
      </c>
      <c r="N7" s="182"/>
      <c r="O7" s="182" t="s">
        <v>44</v>
      </c>
      <c r="P7" s="185"/>
      <c r="Q7" s="182" t="s">
        <v>130</v>
      </c>
      <c r="R7" s="182" t="s">
        <v>131</v>
      </c>
      <c r="S7" s="182"/>
    </row>
    <row r="8" spans="1:19" ht="15.95" customHeight="1" x14ac:dyDescent="0.25">
      <c r="A8" s="191" t="s">
        <v>132</v>
      </c>
      <c r="B8" s="192">
        <v>1</v>
      </c>
      <c r="C8" s="182"/>
      <c r="D8" s="188">
        <v>3</v>
      </c>
      <c r="E8" s="184">
        <v>41803.791666666664</v>
      </c>
      <c r="F8" s="190">
        <v>41803.791666666664</v>
      </c>
      <c r="G8" s="184" t="s">
        <v>133</v>
      </c>
      <c r="H8" s="184" t="s">
        <v>43</v>
      </c>
      <c r="I8" s="184" t="s">
        <v>44</v>
      </c>
      <c r="J8" s="183" t="s">
        <v>4</v>
      </c>
      <c r="K8" s="183" t="s">
        <v>110</v>
      </c>
      <c r="L8" s="189">
        <f t="shared" si="0"/>
        <v>41803</v>
      </c>
      <c r="M8" s="190">
        <f t="shared" si="1"/>
        <v>41803.604166666664</v>
      </c>
      <c r="N8" s="182"/>
      <c r="O8" s="182" t="s">
        <v>46</v>
      </c>
      <c r="P8" s="185"/>
      <c r="Q8" s="182" t="s">
        <v>46</v>
      </c>
      <c r="R8" s="182" t="s">
        <v>134</v>
      </c>
      <c r="S8" s="182"/>
    </row>
    <row r="9" spans="1:19" ht="15.95" customHeight="1" x14ac:dyDescent="0.25">
      <c r="A9" s="191" t="s">
        <v>135</v>
      </c>
      <c r="B9" s="192">
        <v>-4</v>
      </c>
      <c r="C9" s="182"/>
      <c r="D9" s="188">
        <v>4</v>
      </c>
      <c r="E9" s="184">
        <v>41803.916666666664</v>
      </c>
      <c r="F9" s="190">
        <v>41803.916666666664</v>
      </c>
      <c r="G9" s="184" t="s">
        <v>136</v>
      </c>
      <c r="H9" s="184" t="s">
        <v>45</v>
      </c>
      <c r="I9" s="184" t="s">
        <v>46</v>
      </c>
      <c r="J9" s="183" t="s">
        <v>4</v>
      </c>
      <c r="K9" s="183" t="s">
        <v>110</v>
      </c>
      <c r="L9" s="189">
        <f t="shared" si="0"/>
        <v>41803</v>
      </c>
      <c r="M9" s="190">
        <f t="shared" si="1"/>
        <v>41803.729166666664</v>
      </c>
      <c r="N9" s="182"/>
      <c r="O9" s="182" t="s">
        <v>49</v>
      </c>
      <c r="P9" s="185"/>
      <c r="Q9" s="182" t="s">
        <v>49</v>
      </c>
      <c r="R9" s="182" t="s">
        <v>137</v>
      </c>
      <c r="S9" s="182"/>
    </row>
    <row r="10" spans="1:19" ht="15.95" customHeight="1" x14ac:dyDescent="0.25">
      <c r="A10" s="191" t="s">
        <v>138</v>
      </c>
      <c r="B10" s="192">
        <v>3</v>
      </c>
      <c r="C10" s="182"/>
      <c r="D10" s="188">
        <v>19</v>
      </c>
      <c r="E10" s="184">
        <v>41808.666666666664</v>
      </c>
      <c r="F10" s="190">
        <v>41808.666666666664</v>
      </c>
      <c r="G10" s="184" t="s">
        <v>143</v>
      </c>
      <c r="H10" s="184" t="s">
        <v>46</v>
      </c>
      <c r="I10" s="184" t="s">
        <v>44</v>
      </c>
      <c r="J10" s="183" t="s">
        <v>4</v>
      </c>
      <c r="K10" s="183" t="s">
        <v>118</v>
      </c>
      <c r="L10" s="189">
        <f t="shared" si="0"/>
        <v>41808</v>
      </c>
      <c r="M10" s="190">
        <f t="shared" si="1"/>
        <v>41808.479166666664</v>
      </c>
      <c r="N10" s="182"/>
      <c r="O10" s="182" t="s">
        <v>51</v>
      </c>
      <c r="P10" s="185"/>
      <c r="Q10" s="182" t="s">
        <v>140</v>
      </c>
      <c r="R10" s="182" t="s">
        <v>141</v>
      </c>
      <c r="S10" s="182"/>
    </row>
    <row r="11" spans="1:19" ht="15.95" customHeight="1" x14ac:dyDescent="0.25">
      <c r="A11" s="191" t="s">
        <v>142</v>
      </c>
      <c r="B11" s="192">
        <v>1</v>
      </c>
      <c r="C11" s="182"/>
      <c r="D11" s="188">
        <v>20</v>
      </c>
      <c r="E11" s="184">
        <v>41808.791666666664</v>
      </c>
      <c r="F11" s="190">
        <v>41808.791666666664</v>
      </c>
      <c r="G11" s="184" t="s">
        <v>139</v>
      </c>
      <c r="H11" s="184" t="s">
        <v>43</v>
      </c>
      <c r="I11" s="184" t="s">
        <v>45</v>
      </c>
      <c r="J11" s="183" t="s">
        <v>4</v>
      </c>
      <c r="K11" s="183" t="s">
        <v>118</v>
      </c>
      <c r="L11" s="189">
        <f t="shared" si="0"/>
        <v>41808</v>
      </c>
      <c r="M11" s="190">
        <f t="shared" si="1"/>
        <v>41808.604166666664</v>
      </c>
      <c r="N11" s="182"/>
      <c r="O11" s="182" t="s">
        <v>50</v>
      </c>
      <c r="P11" s="185"/>
      <c r="Q11" s="182" t="s">
        <v>50</v>
      </c>
      <c r="R11" s="182" t="s">
        <v>144</v>
      </c>
      <c r="S11" s="182"/>
    </row>
    <row r="12" spans="1:19" ht="15.95" customHeight="1" x14ac:dyDescent="0.25">
      <c r="A12" s="191" t="s">
        <v>145</v>
      </c>
      <c r="B12" s="192">
        <v>-3</v>
      </c>
      <c r="C12" s="182"/>
      <c r="D12" s="188">
        <v>35</v>
      </c>
      <c r="E12" s="184">
        <v>41813.666666666664</v>
      </c>
      <c r="F12" s="190">
        <v>41813.666666666664</v>
      </c>
      <c r="G12" s="184" t="s">
        <v>146</v>
      </c>
      <c r="H12" s="184" t="s">
        <v>46</v>
      </c>
      <c r="I12" s="184" t="s">
        <v>43</v>
      </c>
      <c r="J12" s="183" t="s">
        <v>4</v>
      </c>
      <c r="K12" s="183" t="s">
        <v>126</v>
      </c>
      <c r="L12" s="189">
        <f t="shared" si="0"/>
        <v>41813</v>
      </c>
      <c r="M12" s="190">
        <f t="shared" si="1"/>
        <v>41813.479166666664</v>
      </c>
      <c r="N12" s="182"/>
      <c r="O12" s="182" t="s">
        <v>52</v>
      </c>
      <c r="P12" s="185"/>
      <c r="Q12" s="193" t="s">
        <v>147</v>
      </c>
      <c r="R12" s="182" t="s">
        <v>148</v>
      </c>
      <c r="S12" s="182"/>
    </row>
    <row r="13" spans="1:19" ht="15.95" customHeight="1" x14ac:dyDescent="0.25">
      <c r="A13" s="191" t="s">
        <v>149</v>
      </c>
      <c r="B13" s="192">
        <v>4</v>
      </c>
      <c r="C13" s="182"/>
      <c r="D13" s="188">
        <v>36</v>
      </c>
      <c r="E13" s="184">
        <v>41813.666666666664</v>
      </c>
      <c r="F13" s="190">
        <v>41813.666666666664</v>
      </c>
      <c r="G13" s="184" t="s">
        <v>109</v>
      </c>
      <c r="H13" s="184" t="s">
        <v>44</v>
      </c>
      <c r="I13" s="184" t="s">
        <v>45</v>
      </c>
      <c r="J13" s="183" t="s">
        <v>4</v>
      </c>
      <c r="K13" s="183" t="s">
        <v>126</v>
      </c>
      <c r="L13" s="189">
        <f t="shared" si="0"/>
        <v>41813</v>
      </c>
      <c r="M13" s="190">
        <f t="shared" si="1"/>
        <v>41813.479166666664</v>
      </c>
      <c r="N13" s="182"/>
      <c r="O13" s="182" t="s">
        <v>54</v>
      </c>
      <c r="P13" s="185"/>
      <c r="Q13" s="182" t="s">
        <v>54</v>
      </c>
      <c r="R13" s="182" t="s">
        <v>150</v>
      </c>
      <c r="S13" s="182"/>
    </row>
    <row r="14" spans="1:19" ht="15.95" customHeight="1" x14ac:dyDescent="0.25">
      <c r="A14" s="191" t="s">
        <v>151</v>
      </c>
      <c r="B14" s="192">
        <v>-4</v>
      </c>
      <c r="C14" s="182"/>
      <c r="D14" s="188">
        <v>5</v>
      </c>
      <c r="E14" s="184">
        <v>41804.666666666664</v>
      </c>
      <c r="F14" s="190">
        <v>41804.666666666664</v>
      </c>
      <c r="G14" s="184" t="s">
        <v>152</v>
      </c>
      <c r="H14" s="184" t="s">
        <v>49</v>
      </c>
      <c r="I14" s="184" t="s">
        <v>50</v>
      </c>
      <c r="J14" s="183" t="s">
        <v>5</v>
      </c>
      <c r="K14" s="183" t="s">
        <v>110</v>
      </c>
      <c r="L14" s="189">
        <f t="shared" si="0"/>
        <v>41804</v>
      </c>
      <c r="M14" s="190">
        <f t="shared" si="1"/>
        <v>41804.479166666664</v>
      </c>
      <c r="N14" s="182"/>
      <c r="O14" s="182" t="s">
        <v>56</v>
      </c>
      <c r="P14" s="185"/>
      <c r="Q14" s="182" t="s">
        <v>56</v>
      </c>
      <c r="R14" s="193" t="s">
        <v>153</v>
      </c>
      <c r="S14" s="182"/>
    </row>
    <row r="15" spans="1:19" ht="15.95" customHeight="1" x14ac:dyDescent="0.25">
      <c r="A15" s="191" t="s">
        <v>154</v>
      </c>
      <c r="B15" s="192">
        <v>9.5</v>
      </c>
      <c r="C15" s="182"/>
      <c r="D15" s="188">
        <v>6</v>
      </c>
      <c r="E15" s="184">
        <v>41805.041666666664</v>
      </c>
      <c r="F15" s="190">
        <v>41805.041666666664</v>
      </c>
      <c r="G15" s="184" t="s">
        <v>129</v>
      </c>
      <c r="H15" s="184" t="s">
        <v>51</v>
      </c>
      <c r="I15" s="184" t="s">
        <v>52</v>
      </c>
      <c r="J15" s="183" t="s">
        <v>5</v>
      </c>
      <c r="K15" s="183" t="s">
        <v>110</v>
      </c>
      <c r="L15" s="189">
        <f t="shared" si="0"/>
        <v>41804</v>
      </c>
      <c r="M15" s="190">
        <f t="shared" si="1"/>
        <v>41804.854166666664</v>
      </c>
      <c r="N15" s="182"/>
      <c r="O15" s="182" t="s">
        <v>55</v>
      </c>
      <c r="P15" s="185"/>
      <c r="Q15" s="182" t="s">
        <v>155</v>
      </c>
      <c r="R15" s="182" t="s">
        <v>156</v>
      </c>
      <c r="S15" s="182"/>
    </row>
    <row r="16" spans="1:19" ht="15.95" customHeight="1" x14ac:dyDescent="0.25">
      <c r="A16" s="191" t="s">
        <v>157</v>
      </c>
      <c r="B16" s="192">
        <v>11.5</v>
      </c>
      <c r="C16" s="182"/>
      <c r="D16" s="188">
        <v>21</v>
      </c>
      <c r="E16" s="184">
        <v>41809.666666666664</v>
      </c>
      <c r="F16" s="190">
        <v>41809.666666666664</v>
      </c>
      <c r="G16" s="184" t="s">
        <v>125</v>
      </c>
      <c r="H16" s="184" t="s">
        <v>49</v>
      </c>
      <c r="I16" s="184" t="s">
        <v>51</v>
      </c>
      <c r="J16" s="183" t="s">
        <v>5</v>
      </c>
      <c r="K16" s="183" t="s">
        <v>118</v>
      </c>
      <c r="L16" s="189">
        <f t="shared" si="0"/>
        <v>41809</v>
      </c>
      <c r="M16" s="190">
        <f t="shared" si="1"/>
        <v>41809.479166666664</v>
      </c>
      <c r="N16" s="182"/>
      <c r="O16" s="182" t="s">
        <v>57</v>
      </c>
      <c r="P16" s="185"/>
      <c r="Q16" s="182" t="s">
        <v>57</v>
      </c>
      <c r="R16" s="182" t="s">
        <v>158</v>
      </c>
      <c r="S16" s="182"/>
    </row>
    <row r="17" spans="1:19" ht="15.95" customHeight="1" x14ac:dyDescent="0.25">
      <c r="A17" s="191" t="s">
        <v>159</v>
      </c>
      <c r="B17" s="192">
        <v>10</v>
      </c>
      <c r="C17" s="182"/>
      <c r="D17" s="188">
        <v>22</v>
      </c>
      <c r="E17" s="184">
        <v>41809.916666666664</v>
      </c>
      <c r="F17" s="190">
        <v>41809.916666666664</v>
      </c>
      <c r="G17" s="184" t="s">
        <v>114</v>
      </c>
      <c r="H17" s="184" t="s">
        <v>52</v>
      </c>
      <c r="I17" s="184" t="s">
        <v>50</v>
      </c>
      <c r="J17" s="183" t="s">
        <v>5</v>
      </c>
      <c r="K17" s="183" t="s">
        <v>118</v>
      </c>
      <c r="L17" s="189">
        <f t="shared" si="0"/>
        <v>41809</v>
      </c>
      <c r="M17" s="190">
        <f t="shared" si="1"/>
        <v>41809.729166666664</v>
      </c>
      <c r="N17" s="182"/>
      <c r="O17" s="182" t="s">
        <v>59</v>
      </c>
      <c r="P17" s="185"/>
      <c r="Q17" s="182" t="s">
        <v>59</v>
      </c>
      <c r="R17" s="182" t="s">
        <v>160</v>
      </c>
      <c r="S17" s="182"/>
    </row>
    <row r="18" spans="1:19" ht="15.95" customHeight="1" x14ac:dyDescent="0.25">
      <c r="A18" s="191" t="s">
        <v>161</v>
      </c>
      <c r="B18" s="192">
        <v>8</v>
      </c>
      <c r="C18" s="182"/>
      <c r="D18" s="188">
        <v>37</v>
      </c>
      <c r="E18" s="184">
        <v>41814.833333333336</v>
      </c>
      <c r="F18" s="190">
        <v>41814.833333333336</v>
      </c>
      <c r="G18" s="184" t="s">
        <v>136</v>
      </c>
      <c r="H18" s="184" t="s">
        <v>52</v>
      </c>
      <c r="I18" s="184" t="s">
        <v>49</v>
      </c>
      <c r="J18" s="183" t="s">
        <v>5</v>
      </c>
      <c r="K18" s="183" t="s">
        <v>126</v>
      </c>
      <c r="L18" s="189">
        <f t="shared" si="0"/>
        <v>41814</v>
      </c>
      <c r="M18" s="190">
        <f t="shared" si="1"/>
        <v>41814.645833333336</v>
      </c>
      <c r="N18" s="182"/>
      <c r="O18" s="182" t="s">
        <v>60</v>
      </c>
      <c r="P18" s="185"/>
      <c r="Q18" s="182" t="s">
        <v>60</v>
      </c>
      <c r="R18" s="182" t="s">
        <v>162</v>
      </c>
      <c r="S18" s="182"/>
    </row>
    <row r="19" spans="1:19" ht="15.95" customHeight="1" x14ac:dyDescent="0.25">
      <c r="A19" s="191" t="s">
        <v>163</v>
      </c>
      <c r="B19" s="192">
        <v>1</v>
      </c>
      <c r="C19" s="182"/>
      <c r="D19" s="188">
        <v>38</v>
      </c>
      <c r="E19" s="184">
        <v>41814.833333333336</v>
      </c>
      <c r="F19" s="190">
        <v>41814.833333333336</v>
      </c>
      <c r="G19" s="184" t="s">
        <v>117</v>
      </c>
      <c r="H19" s="184" t="s">
        <v>50</v>
      </c>
      <c r="I19" s="184" t="s">
        <v>51</v>
      </c>
      <c r="J19" s="183" t="s">
        <v>5</v>
      </c>
      <c r="K19" s="183" t="s">
        <v>126</v>
      </c>
      <c r="L19" s="189">
        <f t="shared" si="0"/>
        <v>41814</v>
      </c>
      <c r="M19" s="190">
        <f t="shared" si="1"/>
        <v>41814.645833333336</v>
      </c>
      <c r="N19" s="182"/>
      <c r="O19" s="182" t="s">
        <v>62</v>
      </c>
      <c r="P19" s="185"/>
      <c r="Q19" s="182" t="s">
        <v>62</v>
      </c>
      <c r="R19" s="182" t="s">
        <v>164</v>
      </c>
      <c r="S19" s="182"/>
    </row>
    <row r="20" spans="1:19" ht="15.95" customHeight="1" x14ac:dyDescent="0.25">
      <c r="A20" s="191" t="s">
        <v>165</v>
      </c>
      <c r="B20" s="192">
        <v>4</v>
      </c>
      <c r="C20" s="182"/>
      <c r="D20" s="188">
        <v>7</v>
      </c>
      <c r="E20" s="184">
        <v>41804.791666666664</v>
      </c>
      <c r="F20" s="190">
        <v>41804.791666666664</v>
      </c>
      <c r="G20" s="183" t="s">
        <v>117</v>
      </c>
      <c r="H20" s="183" t="s">
        <v>54</v>
      </c>
      <c r="I20" s="183" t="s">
        <v>55</v>
      </c>
      <c r="J20" s="183" t="s">
        <v>6</v>
      </c>
      <c r="K20" s="183" t="s">
        <v>110</v>
      </c>
      <c r="L20" s="189">
        <f t="shared" si="0"/>
        <v>41804</v>
      </c>
      <c r="M20" s="190">
        <f t="shared" si="1"/>
        <v>41804.604166666664</v>
      </c>
      <c r="N20" s="182"/>
      <c r="O20" s="182" t="s">
        <v>61</v>
      </c>
      <c r="P20" s="185"/>
      <c r="Q20" s="182" t="s">
        <v>61</v>
      </c>
      <c r="R20" s="182" t="s">
        <v>166</v>
      </c>
      <c r="S20" s="182"/>
    </row>
    <row r="21" spans="1:19" ht="15.95" customHeight="1" x14ac:dyDescent="0.25">
      <c r="A21" s="191" t="s">
        <v>167</v>
      </c>
      <c r="B21" s="192">
        <v>-5</v>
      </c>
      <c r="C21" s="182"/>
      <c r="D21" s="188">
        <v>8</v>
      </c>
      <c r="E21" s="184">
        <v>41804.916666666664</v>
      </c>
      <c r="F21" s="190">
        <v>41804.916666666664</v>
      </c>
      <c r="G21" s="183" t="s">
        <v>122</v>
      </c>
      <c r="H21" s="183" t="s">
        <v>56</v>
      </c>
      <c r="I21" s="183" t="s">
        <v>57</v>
      </c>
      <c r="J21" s="183" t="s">
        <v>6</v>
      </c>
      <c r="K21" s="183" t="s">
        <v>110</v>
      </c>
      <c r="L21" s="189">
        <f t="shared" si="0"/>
        <v>41804</v>
      </c>
      <c r="M21" s="190">
        <f t="shared" si="1"/>
        <v>41804.729166666664</v>
      </c>
      <c r="N21" s="182"/>
      <c r="O21" s="182" t="s">
        <v>64</v>
      </c>
      <c r="P21" s="185"/>
      <c r="Q21" s="182" t="s">
        <v>64</v>
      </c>
      <c r="R21" s="182" t="s">
        <v>168</v>
      </c>
      <c r="S21" s="182"/>
    </row>
    <row r="22" spans="1:19" ht="15.95" customHeight="1" x14ac:dyDescent="0.25">
      <c r="A22" s="191" t="s">
        <v>169</v>
      </c>
      <c r="B22" s="192">
        <v>3</v>
      </c>
      <c r="C22" s="182"/>
      <c r="D22" s="188">
        <v>23</v>
      </c>
      <c r="E22" s="184">
        <v>41809.791666666664</v>
      </c>
      <c r="F22" s="190">
        <v>41809.791666666664</v>
      </c>
      <c r="G22" s="183" t="s">
        <v>109</v>
      </c>
      <c r="H22" s="183" t="s">
        <v>54</v>
      </c>
      <c r="I22" s="183" t="s">
        <v>56</v>
      </c>
      <c r="J22" s="183" t="s">
        <v>6</v>
      </c>
      <c r="K22" s="183" t="s">
        <v>118</v>
      </c>
      <c r="L22" s="189">
        <f t="shared" si="0"/>
        <v>41809</v>
      </c>
      <c r="M22" s="190">
        <f t="shared" si="1"/>
        <v>41809.604166666664</v>
      </c>
      <c r="N22" s="182"/>
      <c r="O22" s="182" t="s">
        <v>65</v>
      </c>
      <c r="P22" s="185"/>
      <c r="Q22" s="182" t="s">
        <v>170</v>
      </c>
      <c r="R22" s="182" t="s">
        <v>171</v>
      </c>
      <c r="S22" s="182"/>
    </row>
    <row r="23" spans="1:19" ht="15.95" customHeight="1" x14ac:dyDescent="0.25">
      <c r="A23" s="191" t="s">
        <v>172</v>
      </c>
      <c r="B23" s="192">
        <v>6</v>
      </c>
      <c r="C23" s="182"/>
      <c r="D23" s="188">
        <v>24</v>
      </c>
      <c r="E23" s="184">
        <v>41810.666666666664</v>
      </c>
      <c r="F23" s="190">
        <v>41810.666666666664</v>
      </c>
      <c r="G23" s="183" t="s">
        <v>129</v>
      </c>
      <c r="H23" s="183" t="s">
        <v>57</v>
      </c>
      <c r="I23" s="183" t="s">
        <v>55</v>
      </c>
      <c r="J23" s="183" t="s">
        <v>6</v>
      </c>
      <c r="K23" s="183" t="s">
        <v>118</v>
      </c>
      <c r="L23" s="189">
        <f t="shared" si="0"/>
        <v>41810</v>
      </c>
      <c r="M23" s="190">
        <f t="shared" si="1"/>
        <v>41810.479166666664</v>
      </c>
      <c r="N23" s="182"/>
      <c r="O23" s="182" t="s">
        <v>66</v>
      </c>
      <c r="P23" s="185"/>
      <c r="Q23" s="182" t="s">
        <v>173</v>
      </c>
      <c r="R23" s="182" t="s">
        <v>174</v>
      </c>
      <c r="S23" s="182"/>
    </row>
    <row r="24" spans="1:19" ht="15.95" customHeight="1" x14ac:dyDescent="0.25">
      <c r="A24" s="191" t="s">
        <v>175</v>
      </c>
      <c r="B24" s="192">
        <v>-4</v>
      </c>
      <c r="C24" s="182"/>
      <c r="D24" s="188">
        <v>39</v>
      </c>
      <c r="E24" s="184">
        <v>41814.666666666664</v>
      </c>
      <c r="F24" s="190">
        <v>41814.666666666664</v>
      </c>
      <c r="G24" s="183" t="s">
        <v>114</v>
      </c>
      <c r="H24" s="183" t="s">
        <v>57</v>
      </c>
      <c r="I24" s="183" t="s">
        <v>54</v>
      </c>
      <c r="J24" s="183" t="s">
        <v>6</v>
      </c>
      <c r="K24" s="183" t="s">
        <v>126</v>
      </c>
      <c r="L24" s="189">
        <f t="shared" si="0"/>
        <v>41814</v>
      </c>
      <c r="M24" s="190">
        <f t="shared" si="1"/>
        <v>41814.479166666664</v>
      </c>
      <c r="N24" s="182"/>
      <c r="O24" s="182" t="s">
        <v>67</v>
      </c>
      <c r="P24" s="185"/>
      <c r="Q24" s="182" t="s">
        <v>67</v>
      </c>
      <c r="R24" s="182" t="s">
        <v>176</v>
      </c>
      <c r="S24" s="182"/>
    </row>
    <row r="25" spans="1:19" ht="15.95" customHeight="1" x14ac:dyDescent="0.25">
      <c r="A25" s="191" t="s">
        <v>177</v>
      </c>
      <c r="B25" s="192">
        <v>1</v>
      </c>
      <c r="C25" s="182"/>
      <c r="D25" s="188">
        <v>40</v>
      </c>
      <c r="E25" s="184">
        <v>41814.666666666664</v>
      </c>
      <c r="F25" s="190">
        <v>41814.666666666664</v>
      </c>
      <c r="G25" s="183" t="s">
        <v>152</v>
      </c>
      <c r="H25" s="183" t="s">
        <v>55</v>
      </c>
      <c r="I25" s="183" t="s">
        <v>56</v>
      </c>
      <c r="J25" s="183" t="s">
        <v>6</v>
      </c>
      <c r="K25" s="183" t="s">
        <v>126</v>
      </c>
      <c r="L25" s="189">
        <f t="shared" si="0"/>
        <v>41814</v>
      </c>
      <c r="M25" s="190">
        <f t="shared" si="1"/>
        <v>41814.479166666664</v>
      </c>
      <c r="N25" s="182"/>
      <c r="O25" s="182" t="s">
        <v>69</v>
      </c>
      <c r="P25" s="185"/>
      <c r="Q25" s="182" t="s">
        <v>69</v>
      </c>
      <c r="R25" s="182" t="s">
        <v>178</v>
      </c>
      <c r="S25" s="182"/>
    </row>
    <row r="26" spans="1:19" ht="15.95" customHeight="1" x14ac:dyDescent="0.25">
      <c r="A26" s="191" t="s">
        <v>179</v>
      </c>
      <c r="B26" s="192">
        <v>-6</v>
      </c>
      <c r="C26" s="182"/>
      <c r="D26" s="188">
        <v>9</v>
      </c>
      <c r="E26" s="184">
        <v>41805.666666666664</v>
      </c>
      <c r="F26" s="190">
        <v>41805.666666666664</v>
      </c>
      <c r="G26" s="183" t="s">
        <v>125</v>
      </c>
      <c r="H26" s="183" t="s">
        <v>59</v>
      </c>
      <c r="I26" s="183" t="s">
        <v>60</v>
      </c>
      <c r="J26" s="183" t="s">
        <v>7</v>
      </c>
      <c r="K26" s="183" t="s">
        <v>110</v>
      </c>
      <c r="L26" s="189">
        <f t="shared" si="0"/>
        <v>41805</v>
      </c>
      <c r="M26" s="190">
        <f t="shared" si="1"/>
        <v>41805.479166666664</v>
      </c>
      <c r="N26" s="182"/>
      <c r="O26" s="182" t="s">
        <v>70</v>
      </c>
      <c r="P26" s="185"/>
      <c r="Q26" s="182" t="s">
        <v>70</v>
      </c>
      <c r="R26" s="182" t="s">
        <v>180</v>
      </c>
      <c r="S26" s="182"/>
    </row>
    <row r="27" spans="1:19" ht="15.95" customHeight="1" x14ac:dyDescent="0.25">
      <c r="A27" s="191" t="s">
        <v>181</v>
      </c>
      <c r="B27" s="192">
        <v>1</v>
      </c>
      <c r="C27" s="182"/>
      <c r="D27" s="188">
        <v>10</v>
      </c>
      <c r="E27" s="184">
        <v>41805.791666666664</v>
      </c>
      <c r="F27" s="190">
        <v>41805.791666666664</v>
      </c>
      <c r="G27" s="183" t="s">
        <v>143</v>
      </c>
      <c r="H27" s="183" t="s">
        <v>61</v>
      </c>
      <c r="I27" s="183" t="s">
        <v>62</v>
      </c>
      <c r="J27" s="183" t="s">
        <v>7</v>
      </c>
      <c r="K27" s="183" t="s">
        <v>110</v>
      </c>
      <c r="L27" s="189">
        <f t="shared" si="0"/>
        <v>41805</v>
      </c>
      <c r="M27" s="190">
        <f t="shared" si="1"/>
        <v>41805.604166666664</v>
      </c>
      <c r="N27" s="182"/>
      <c r="O27" s="182" t="s">
        <v>71</v>
      </c>
      <c r="P27" s="185"/>
      <c r="Q27" s="182" t="s">
        <v>71</v>
      </c>
      <c r="R27" s="182" t="s">
        <v>182</v>
      </c>
      <c r="S27" s="182"/>
    </row>
    <row r="28" spans="1:19" ht="15.95" customHeight="1" x14ac:dyDescent="0.25">
      <c r="A28" s="191" t="s">
        <v>183</v>
      </c>
      <c r="B28" s="192">
        <v>-4</v>
      </c>
      <c r="C28" s="182"/>
      <c r="D28" s="188">
        <v>25</v>
      </c>
      <c r="E28" s="184">
        <v>41810.791666666664</v>
      </c>
      <c r="F28" s="190">
        <v>41810.791666666664</v>
      </c>
      <c r="G28" s="183" t="s">
        <v>133</v>
      </c>
      <c r="H28" s="183" t="s">
        <v>59</v>
      </c>
      <c r="I28" s="183" t="s">
        <v>61</v>
      </c>
      <c r="J28" s="183" t="s">
        <v>7</v>
      </c>
      <c r="K28" s="183" t="s">
        <v>118</v>
      </c>
      <c r="L28" s="189">
        <f t="shared" si="0"/>
        <v>41810</v>
      </c>
      <c r="M28" s="190">
        <f t="shared" si="1"/>
        <v>41810.604166666664</v>
      </c>
      <c r="N28" s="182"/>
      <c r="O28" s="182" t="s">
        <v>72</v>
      </c>
      <c r="P28" s="185"/>
      <c r="Q28" s="182" t="s">
        <v>184</v>
      </c>
      <c r="R28" s="193" t="s">
        <v>185</v>
      </c>
      <c r="S28" s="182"/>
    </row>
    <row r="29" spans="1:19" ht="15.95" customHeight="1" x14ac:dyDescent="0.25">
      <c r="A29" s="191" t="s">
        <v>186</v>
      </c>
      <c r="B29" s="192">
        <v>2</v>
      </c>
      <c r="C29" s="182"/>
      <c r="D29" s="188">
        <v>26</v>
      </c>
      <c r="E29" s="184">
        <v>41810.916666666664</v>
      </c>
      <c r="F29" s="190">
        <v>41810.916666666664</v>
      </c>
      <c r="G29" s="183" t="s">
        <v>146</v>
      </c>
      <c r="H29" s="183" t="s">
        <v>62</v>
      </c>
      <c r="I29" s="183" t="s">
        <v>60</v>
      </c>
      <c r="J29" s="183" t="s">
        <v>7</v>
      </c>
      <c r="K29" s="183" t="s">
        <v>118</v>
      </c>
      <c r="L29" s="189">
        <f t="shared" si="0"/>
        <v>41810</v>
      </c>
      <c r="M29" s="190">
        <f t="shared" si="1"/>
        <v>41810.729166666664</v>
      </c>
      <c r="N29" s="182"/>
      <c r="O29" s="182" t="s">
        <v>74</v>
      </c>
      <c r="P29" s="185"/>
      <c r="Q29" s="193" t="s">
        <v>187</v>
      </c>
      <c r="R29" s="182" t="s">
        <v>188</v>
      </c>
      <c r="S29" s="182"/>
    </row>
    <row r="30" spans="1:19" ht="15.95" customHeight="1" x14ac:dyDescent="0.25">
      <c r="A30" s="191" t="s">
        <v>189</v>
      </c>
      <c r="B30" s="192">
        <v>-4</v>
      </c>
      <c r="C30" s="182"/>
      <c r="D30" s="188">
        <v>41</v>
      </c>
      <c r="E30" s="184">
        <v>41815.833333333336</v>
      </c>
      <c r="F30" s="190">
        <v>41815.833333333336</v>
      </c>
      <c r="G30" s="183" t="s">
        <v>122</v>
      </c>
      <c r="H30" s="183" t="s">
        <v>62</v>
      </c>
      <c r="I30" s="183" t="s">
        <v>59</v>
      </c>
      <c r="J30" s="183" t="s">
        <v>7</v>
      </c>
      <c r="K30" s="183" t="s">
        <v>126</v>
      </c>
      <c r="L30" s="189">
        <f t="shared" si="0"/>
        <v>41815</v>
      </c>
      <c r="M30" s="190">
        <f t="shared" si="1"/>
        <v>41815.645833333336</v>
      </c>
      <c r="N30" s="182"/>
      <c r="O30" s="182" t="s">
        <v>75</v>
      </c>
      <c r="P30" s="185"/>
      <c r="Q30" s="182" t="s">
        <v>75</v>
      </c>
      <c r="R30" s="182" t="s">
        <v>190</v>
      </c>
      <c r="S30" s="182"/>
    </row>
    <row r="31" spans="1:19" ht="15.95" customHeight="1" x14ac:dyDescent="0.25">
      <c r="A31" s="191" t="s">
        <v>191</v>
      </c>
      <c r="B31" s="192">
        <v>1</v>
      </c>
      <c r="C31" s="182"/>
      <c r="D31" s="188">
        <v>42</v>
      </c>
      <c r="E31" s="184">
        <v>41815.833333333336</v>
      </c>
      <c r="F31" s="190">
        <v>41815.833333333336</v>
      </c>
      <c r="G31" s="183" t="s">
        <v>139</v>
      </c>
      <c r="H31" s="183" t="s">
        <v>60</v>
      </c>
      <c r="I31" s="183" t="s">
        <v>61</v>
      </c>
      <c r="J31" s="183" t="s">
        <v>7</v>
      </c>
      <c r="K31" s="183" t="s">
        <v>126</v>
      </c>
      <c r="L31" s="189">
        <f t="shared" si="0"/>
        <v>41815</v>
      </c>
      <c r="M31" s="190">
        <f t="shared" si="1"/>
        <v>41815.645833333336</v>
      </c>
      <c r="N31" s="182"/>
      <c r="O31" s="182" t="s">
        <v>76</v>
      </c>
      <c r="P31" s="185"/>
      <c r="Q31" s="182" t="s">
        <v>76</v>
      </c>
      <c r="R31" s="182" t="s">
        <v>192</v>
      </c>
      <c r="S31" s="182"/>
    </row>
    <row r="32" spans="1:19" ht="15.95" customHeight="1" x14ac:dyDescent="0.25">
      <c r="A32" s="191" t="s">
        <v>193</v>
      </c>
      <c r="B32" s="192">
        <v>2</v>
      </c>
      <c r="C32" s="182"/>
      <c r="D32" s="188">
        <v>11</v>
      </c>
      <c r="E32" s="184">
        <v>41805.916666666664</v>
      </c>
      <c r="F32" s="190">
        <v>41805.916666666664</v>
      </c>
      <c r="G32" s="183" t="s">
        <v>139</v>
      </c>
      <c r="H32" s="183" t="s">
        <v>64</v>
      </c>
      <c r="I32" s="183" t="s">
        <v>65</v>
      </c>
      <c r="J32" s="183" t="s">
        <v>8</v>
      </c>
      <c r="K32" s="183" t="s">
        <v>110</v>
      </c>
      <c r="L32" s="189">
        <f t="shared" si="0"/>
        <v>41805</v>
      </c>
      <c r="M32" s="190">
        <f t="shared" si="1"/>
        <v>41805.729166666664</v>
      </c>
      <c r="N32" s="182"/>
      <c r="O32" s="182" t="s">
        <v>77</v>
      </c>
      <c r="P32" s="185"/>
      <c r="Q32" s="182" t="s">
        <v>194</v>
      </c>
      <c r="R32" s="193" t="s">
        <v>195</v>
      </c>
      <c r="S32" s="182"/>
    </row>
    <row r="33" spans="1:19" ht="15.95" customHeight="1" x14ac:dyDescent="0.25">
      <c r="A33" s="191" t="s">
        <v>196</v>
      </c>
      <c r="B33" s="192">
        <v>-2</v>
      </c>
      <c r="C33" s="182"/>
      <c r="D33" s="188">
        <v>12</v>
      </c>
      <c r="E33" s="184">
        <v>41806.791666666664</v>
      </c>
      <c r="F33" s="190">
        <v>41806.791666666664</v>
      </c>
      <c r="G33" s="183" t="s">
        <v>146</v>
      </c>
      <c r="H33" s="183" t="s">
        <v>66</v>
      </c>
      <c r="I33" s="183" t="s">
        <v>67</v>
      </c>
      <c r="J33" s="183" t="s">
        <v>8</v>
      </c>
      <c r="K33" s="183" t="s">
        <v>110</v>
      </c>
      <c r="L33" s="189">
        <f t="shared" si="0"/>
        <v>41806</v>
      </c>
      <c r="M33" s="190">
        <f t="shared" si="1"/>
        <v>41806.604166666664</v>
      </c>
      <c r="N33" s="182"/>
      <c r="O33" s="193" t="s">
        <v>197</v>
      </c>
      <c r="P33" s="185"/>
      <c r="Q33" s="193" t="s">
        <v>198</v>
      </c>
      <c r="R33" s="193"/>
      <c r="S33" s="182"/>
    </row>
    <row r="34" spans="1:19" ht="12.95" customHeight="1" x14ac:dyDescent="0.25">
      <c r="A34" s="191" t="s">
        <v>199</v>
      </c>
      <c r="B34" s="192">
        <v>-3</v>
      </c>
      <c r="C34" s="182"/>
      <c r="D34" s="188">
        <v>27</v>
      </c>
      <c r="E34" s="184">
        <v>41811.666666666664</v>
      </c>
      <c r="F34" s="190">
        <v>41811.666666666664</v>
      </c>
      <c r="G34" s="183" t="s">
        <v>152</v>
      </c>
      <c r="H34" s="183" t="s">
        <v>64</v>
      </c>
      <c r="I34" s="183" t="s">
        <v>66</v>
      </c>
      <c r="J34" s="183" t="s">
        <v>8</v>
      </c>
      <c r="K34" s="183" t="s">
        <v>118</v>
      </c>
      <c r="L34" s="189">
        <f t="shared" si="0"/>
        <v>41811</v>
      </c>
      <c r="M34" s="190">
        <f t="shared" si="1"/>
        <v>41811.479166666664</v>
      </c>
      <c r="N34" s="182"/>
      <c r="O34" s="182"/>
      <c r="P34" s="185"/>
      <c r="Q34" s="182"/>
      <c r="R34" s="182"/>
      <c r="S34" s="182"/>
    </row>
    <row r="35" spans="1:19" ht="12.95" customHeight="1" x14ac:dyDescent="0.25">
      <c r="A35" s="191" t="s">
        <v>200</v>
      </c>
      <c r="B35" s="192">
        <v>-4</v>
      </c>
      <c r="C35" s="182"/>
      <c r="D35" s="188">
        <v>28</v>
      </c>
      <c r="E35" s="184">
        <v>41811.916666666664</v>
      </c>
      <c r="F35" s="190">
        <v>41811.916666666664</v>
      </c>
      <c r="G35" s="183" t="s">
        <v>136</v>
      </c>
      <c r="H35" s="183" t="s">
        <v>67</v>
      </c>
      <c r="I35" s="183" t="s">
        <v>65</v>
      </c>
      <c r="J35" s="183" t="s">
        <v>8</v>
      </c>
      <c r="K35" s="183" t="s">
        <v>118</v>
      </c>
      <c r="L35" s="189">
        <f t="shared" si="0"/>
        <v>41811</v>
      </c>
      <c r="M35" s="190">
        <f t="shared" si="1"/>
        <v>41811.729166666664</v>
      </c>
      <c r="N35" s="182"/>
      <c r="O35" s="182"/>
      <c r="P35" s="185"/>
      <c r="Q35" s="182"/>
      <c r="R35" s="182"/>
      <c r="S35" s="182"/>
    </row>
    <row r="36" spans="1:19" ht="12.95" customHeight="1" x14ac:dyDescent="0.25">
      <c r="A36" s="191" t="s">
        <v>201</v>
      </c>
      <c r="B36" s="192">
        <v>8</v>
      </c>
      <c r="C36" s="182"/>
      <c r="D36" s="188">
        <v>43</v>
      </c>
      <c r="E36" s="184">
        <v>41815.666666666664</v>
      </c>
      <c r="F36" s="190">
        <v>41815.666666666664</v>
      </c>
      <c r="G36" s="183" t="s">
        <v>143</v>
      </c>
      <c r="H36" s="183" t="s">
        <v>67</v>
      </c>
      <c r="I36" s="183" t="s">
        <v>64</v>
      </c>
      <c r="J36" s="183" t="s">
        <v>8</v>
      </c>
      <c r="K36" s="183" t="s">
        <v>126</v>
      </c>
      <c r="L36" s="189">
        <f t="shared" si="0"/>
        <v>41815</v>
      </c>
      <c r="M36" s="190">
        <f t="shared" si="1"/>
        <v>41815.479166666664</v>
      </c>
      <c r="N36" s="182"/>
      <c r="O36" s="182"/>
      <c r="P36" s="185"/>
      <c r="Q36" s="182"/>
      <c r="R36" s="182"/>
      <c r="S36" s="182"/>
    </row>
    <row r="37" spans="1:19" ht="12.95" customHeight="1" x14ac:dyDescent="0.25">
      <c r="A37" s="191" t="s">
        <v>202</v>
      </c>
      <c r="B37" s="192">
        <v>2</v>
      </c>
      <c r="C37" s="182"/>
      <c r="D37" s="188">
        <v>44</v>
      </c>
      <c r="E37" s="184">
        <v>41815.666666666664</v>
      </c>
      <c r="F37" s="190">
        <v>41815.666666666664</v>
      </c>
      <c r="G37" s="183" t="s">
        <v>133</v>
      </c>
      <c r="H37" s="183" t="s">
        <v>65</v>
      </c>
      <c r="I37" s="183" t="s">
        <v>66</v>
      </c>
      <c r="J37" s="183" t="s">
        <v>8</v>
      </c>
      <c r="K37" s="183" t="s">
        <v>126</v>
      </c>
      <c r="L37" s="189">
        <f t="shared" si="0"/>
        <v>41815</v>
      </c>
      <c r="M37" s="190">
        <f t="shared" si="1"/>
        <v>41815.479166666664</v>
      </c>
      <c r="N37" s="182"/>
      <c r="O37" s="182"/>
      <c r="P37" s="185"/>
      <c r="Q37" s="182"/>
      <c r="R37" s="182"/>
      <c r="S37" s="182"/>
    </row>
    <row r="38" spans="1:19" ht="12.95" customHeight="1" x14ac:dyDescent="0.25">
      <c r="A38" s="191" t="s">
        <v>203</v>
      </c>
      <c r="B38" s="192">
        <v>0</v>
      </c>
      <c r="C38" s="182"/>
      <c r="D38" s="188">
        <v>13</v>
      </c>
      <c r="E38" s="184">
        <v>41806.666666666664</v>
      </c>
      <c r="F38" s="190">
        <v>41806.666666666664</v>
      </c>
      <c r="G38" s="183" t="s">
        <v>133</v>
      </c>
      <c r="H38" s="183" t="s">
        <v>69</v>
      </c>
      <c r="I38" s="183" t="s">
        <v>70</v>
      </c>
      <c r="J38" s="183" t="s">
        <v>9</v>
      </c>
      <c r="K38" s="183" t="s">
        <v>110</v>
      </c>
      <c r="L38" s="189">
        <f t="shared" si="0"/>
        <v>41806</v>
      </c>
      <c r="M38" s="190">
        <f t="shared" si="1"/>
        <v>41806.479166666664</v>
      </c>
      <c r="N38" s="182"/>
      <c r="O38" s="182"/>
      <c r="P38" s="185"/>
      <c r="Q38" s="182"/>
      <c r="R38" s="182"/>
      <c r="S38" s="182"/>
    </row>
    <row r="39" spans="1:19" ht="12.95" customHeight="1" x14ac:dyDescent="0.25">
      <c r="A39" s="191" t="s">
        <v>204</v>
      </c>
      <c r="B39" s="192">
        <v>2</v>
      </c>
      <c r="C39" s="182"/>
      <c r="D39" s="188">
        <v>14</v>
      </c>
      <c r="E39" s="184">
        <v>41806.916666666664</v>
      </c>
      <c r="F39" s="190">
        <v>41806.916666666664</v>
      </c>
      <c r="G39" s="183" t="s">
        <v>114</v>
      </c>
      <c r="H39" s="183" t="s">
        <v>71</v>
      </c>
      <c r="I39" s="183" t="s">
        <v>72</v>
      </c>
      <c r="J39" s="183" t="s">
        <v>9</v>
      </c>
      <c r="K39" s="183" t="s">
        <v>110</v>
      </c>
      <c r="L39" s="189">
        <f t="shared" si="0"/>
        <v>41806</v>
      </c>
      <c r="M39" s="190">
        <f t="shared" si="1"/>
        <v>41806.729166666664</v>
      </c>
      <c r="N39" s="182"/>
      <c r="O39" s="182"/>
      <c r="P39" s="185"/>
      <c r="Q39" s="182"/>
      <c r="R39" s="182"/>
      <c r="S39" s="182"/>
    </row>
    <row r="40" spans="1:19" ht="12.95" customHeight="1" x14ac:dyDescent="0.25">
      <c r="A40" s="191" t="s">
        <v>205</v>
      </c>
      <c r="B40" s="192">
        <v>6</v>
      </c>
      <c r="C40" s="182"/>
      <c r="D40" s="188">
        <v>29</v>
      </c>
      <c r="E40" s="184">
        <v>41811.791666666664</v>
      </c>
      <c r="F40" s="190">
        <v>41811.791666666664</v>
      </c>
      <c r="G40" s="183" t="s">
        <v>117</v>
      </c>
      <c r="H40" s="183" t="s">
        <v>69</v>
      </c>
      <c r="I40" s="183" t="s">
        <v>71</v>
      </c>
      <c r="J40" s="183" t="s">
        <v>9</v>
      </c>
      <c r="K40" s="183" t="s">
        <v>118</v>
      </c>
      <c r="L40" s="189">
        <f t="shared" si="0"/>
        <v>41811</v>
      </c>
      <c r="M40" s="190">
        <f t="shared" si="1"/>
        <v>41811.604166666664</v>
      </c>
      <c r="N40" s="182"/>
      <c r="O40" s="182"/>
      <c r="P40" s="185"/>
      <c r="Q40" s="182"/>
      <c r="R40" s="182"/>
      <c r="S40" s="182"/>
    </row>
    <row r="41" spans="1:19" ht="12.95" customHeight="1" x14ac:dyDescent="0.25">
      <c r="A41" s="191" t="s">
        <v>206</v>
      </c>
      <c r="B41" s="192">
        <v>-1</v>
      </c>
      <c r="C41" s="182"/>
      <c r="D41" s="188">
        <v>30</v>
      </c>
      <c r="E41" s="184">
        <v>41812.916666666664</v>
      </c>
      <c r="F41" s="190">
        <v>41812.916666666664</v>
      </c>
      <c r="G41" s="183" t="s">
        <v>122</v>
      </c>
      <c r="H41" s="183" t="s">
        <v>72</v>
      </c>
      <c r="I41" s="183" t="s">
        <v>70</v>
      </c>
      <c r="J41" s="183" t="s">
        <v>9</v>
      </c>
      <c r="K41" s="183" t="s">
        <v>118</v>
      </c>
      <c r="L41" s="189">
        <f t="shared" si="0"/>
        <v>41812</v>
      </c>
      <c r="M41" s="190">
        <f t="shared" si="1"/>
        <v>41812.729166666664</v>
      </c>
      <c r="N41" s="182"/>
      <c r="O41" s="182"/>
      <c r="P41" s="185"/>
      <c r="Q41" s="182"/>
      <c r="R41" s="182"/>
      <c r="S41" s="182"/>
    </row>
    <row r="42" spans="1:19" ht="12.95" customHeight="1" x14ac:dyDescent="0.25">
      <c r="A42" s="191" t="s">
        <v>207</v>
      </c>
      <c r="B42" s="192">
        <v>7</v>
      </c>
      <c r="C42" s="182"/>
      <c r="D42" s="188">
        <v>45</v>
      </c>
      <c r="E42" s="184">
        <v>41816.666666666664</v>
      </c>
      <c r="F42" s="190">
        <v>41816.666666666664</v>
      </c>
      <c r="G42" s="183" t="s">
        <v>129</v>
      </c>
      <c r="H42" s="183" t="s">
        <v>72</v>
      </c>
      <c r="I42" s="183" t="s">
        <v>69</v>
      </c>
      <c r="J42" s="183" t="s">
        <v>9</v>
      </c>
      <c r="K42" s="183" t="s">
        <v>126</v>
      </c>
      <c r="L42" s="189">
        <f t="shared" si="0"/>
        <v>41816</v>
      </c>
      <c r="M42" s="190">
        <f t="shared" si="1"/>
        <v>41816.479166666664</v>
      </c>
      <c r="N42" s="182"/>
      <c r="O42" s="182"/>
      <c r="P42" s="185"/>
      <c r="Q42" s="182"/>
      <c r="R42" s="182"/>
      <c r="S42" s="182"/>
    </row>
    <row r="43" spans="1:19" ht="12.95" customHeight="1" x14ac:dyDescent="0.25">
      <c r="A43" s="191" t="s">
        <v>208</v>
      </c>
      <c r="B43" s="192">
        <v>1</v>
      </c>
      <c r="C43" s="182"/>
      <c r="D43" s="188">
        <v>46</v>
      </c>
      <c r="E43" s="184">
        <v>41816.666666666664</v>
      </c>
      <c r="F43" s="190">
        <v>41816.666666666664</v>
      </c>
      <c r="G43" s="183" t="s">
        <v>125</v>
      </c>
      <c r="H43" s="183" t="s">
        <v>70</v>
      </c>
      <c r="I43" s="183" t="s">
        <v>71</v>
      </c>
      <c r="J43" s="183" t="s">
        <v>9</v>
      </c>
      <c r="K43" s="183" t="s">
        <v>126</v>
      </c>
      <c r="L43" s="189">
        <f t="shared" si="0"/>
        <v>41816</v>
      </c>
      <c r="M43" s="190">
        <f t="shared" si="1"/>
        <v>41816.479166666664</v>
      </c>
      <c r="N43" s="182"/>
      <c r="O43" s="182"/>
      <c r="P43" s="185"/>
      <c r="Q43" s="182"/>
      <c r="R43" s="182"/>
      <c r="S43" s="182"/>
    </row>
    <row r="44" spans="1:19" ht="12.95" customHeight="1" x14ac:dyDescent="0.25">
      <c r="A44" s="191" t="s">
        <v>209</v>
      </c>
      <c r="B44" s="192">
        <v>-7</v>
      </c>
      <c r="C44" s="182"/>
      <c r="D44" s="188">
        <v>15</v>
      </c>
      <c r="E44" s="184">
        <v>41807.666666666664</v>
      </c>
      <c r="F44" s="190">
        <v>41807.666666666664</v>
      </c>
      <c r="G44" s="183" t="s">
        <v>152</v>
      </c>
      <c r="H44" s="183" t="s">
        <v>74</v>
      </c>
      <c r="I44" s="183" t="s">
        <v>75</v>
      </c>
      <c r="J44" s="183" t="s">
        <v>10</v>
      </c>
      <c r="K44" s="183" t="s">
        <v>110</v>
      </c>
      <c r="L44" s="189">
        <f t="shared" si="0"/>
        <v>41807</v>
      </c>
      <c r="M44" s="190">
        <f t="shared" si="1"/>
        <v>41807.479166666664</v>
      </c>
      <c r="N44" s="182"/>
      <c r="O44" s="182"/>
      <c r="P44" s="185"/>
      <c r="Q44" s="182"/>
      <c r="R44" s="182"/>
      <c r="S44" s="182"/>
    </row>
    <row r="45" spans="1:19" ht="12.95" customHeight="1" x14ac:dyDescent="0.25">
      <c r="A45" s="191" t="s">
        <v>210</v>
      </c>
      <c r="B45" s="192">
        <v>-6</v>
      </c>
      <c r="C45" s="182"/>
      <c r="D45" s="188">
        <v>16</v>
      </c>
      <c r="E45" s="184">
        <v>41807.916666666664</v>
      </c>
      <c r="F45" s="190">
        <v>41807.916666666664</v>
      </c>
      <c r="G45" s="183" t="s">
        <v>136</v>
      </c>
      <c r="H45" s="183" t="s">
        <v>76</v>
      </c>
      <c r="I45" s="183" t="s">
        <v>77</v>
      </c>
      <c r="J45" s="183" t="s">
        <v>10</v>
      </c>
      <c r="K45" s="183" t="s">
        <v>110</v>
      </c>
      <c r="L45" s="189">
        <f t="shared" si="0"/>
        <v>41807</v>
      </c>
      <c r="M45" s="190">
        <f t="shared" si="1"/>
        <v>41807.729166666664</v>
      </c>
      <c r="N45" s="182"/>
      <c r="O45" s="182"/>
      <c r="P45" s="185"/>
      <c r="Q45" s="182"/>
      <c r="R45" s="182"/>
      <c r="S45" s="182"/>
    </row>
    <row r="46" spans="1:19" ht="12.95" customHeight="1" x14ac:dyDescent="0.25">
      <c r="A46" s="191" t="s">
        <v>211</v>
      </c>
      <c r="B46" s="192">
        <v>-8</v>
      </c>
      <c r="C46" s="182"/>
      <c r="D46" s="188">
        <v>31</v>
      </c>
      <c r="E46" s="184">
        <v>41812.666666666664</v>
      </c>
      <c r="F46" s="190">
        <v>41812.666666666664</v>
      </c>
      <c r="G46" s="183" t="s">
        <v>139</v>
      </c>
      <c r="H46" s="183" t="s">
        <v>74</v>
      </c>
      <c r="I46" s="183" t="s">
        <v>76</v>
      </c>
      <c r="J46" s="183" t="s">
        <v>10</v>
      </c>
      <c r="K46" s="183" t="s">
        <v>118</v>
      </c>
      <c r="L46" s="189">
        <f t="shared" si="0"/>
        <v>41812</v>
      </c>
      <c r="M46" s="190">
        <f t="shared" si="1"/>
        <v>41812.479166666664</v>
      </c>
      <c r="N46" s="182"/>
      <c r="O46" s="182"/>
      <c r="P46" s="185"/>
      <c r="Q46" s="182"/>
      <c r="R46" s="182"/>
      <c r="S46" s="182"/>
    </row>
    <row r="47" spans="1:19" ht="12.95" customHeight="1" x14ac:dyDescent="0.25">
      <c r="A47" s="191" t="s">
        <v>212</v>
      </c>
      <c r="B47" s="192">
        <v>-3.5</v>
      </c>
      <c r="C47" s="182"/>
      <c r="D47" s="188">
        <v>32</v>
      </c>
      <c r="E47" s="184">
        <v>41812.791666666664</v>
      </c>
      <c r="F47" s="190">
        <v>41812.791666666664</v>
      </c>
      <c r="G47" s="183" t="s">
        <v>143</v>
      </c>
      <c r="H47" s="183" t="s">
        <v>77</v>
      </c>
      <c r="I47" s="183" t="s">
        <v>75</v>
      </c>
      <c r="J47" s="183" t="s">
        <v>10</v>
      </c>
      <c r="K47" s="183" t="s">
        <v>118</v>
      </c>
      <c r="L47" s="189">
        <f t="shared" si="0"/>
        <v>41812</v>
      </c>
      <c r="M47" s="190">
        <f t="shared" si="1"/>
        <v>41812.604166666664</v>
      </c>
      <c r="N47" s="182"/>
      <c r="O47" s="182"/>
      <c r="P47" s="185"/>
      <c r="Q47" s="182"/>
      <c r="R47" s="182"/>
      <c r="S47" s="182"/>
    </row>
    <row r="48" spans="1:19" ht="12.95" customHeight="1" x14ac:dyDescent="0.25">
      <c r="A48" s="191" t="s">
        <v>213</v>
      </c>
      <c r="B48" s="192">
        <v>-4</v>
      </c>
      <c r="C48" s="182"/>
      <c r="D48" s="188">
        <v>47</v>
      </c>
      <c r="E48" s="184">
        <v>41816.833333333336</v>
      </c>
      <c r="F48" s="190">
        <v>41816.833333333336</v>
      </c>
      <c r="G48" s="183" t="s">
        <v>109</v>
      </c>
      <c r="H48" s="183" t="s">
        <v>77</v>
      </c>
      <c r="I48" s="183" t="s">
        <v>74</v>
      </c>
      <c r="J48" s="183" t="s">
        <v>10</v>
      </c>
      <c r="K48" s="183" t="s">
        <v>126</v>
      </c>
      <c r="L48" s="189">
        <f t="shared" si="0"/>
        <v>41816</v>
      </c>
      <c r="M48" s="190">
        <f t="shared" si="1"/>
        <v>41816.645833333336</v>
      </c>
      <c r="N48" s="182"/>
      <c r="O48" s="182"/>
      <c r="P48" s="185"/>
      <c r="Q48" s="182"/>
      <c r="R48" s="182"/>
      <c r="S48" s="182"/>
    </row>
    <row r="49" spans="1:19" ht="12.95" customHeight="1" x14ac:dyDescent="0.25">
      <c r="A49" s="191" t="s">
        <v>214</v>
      </c>
      <c r="B49" s="192">
        <v>-5</v>
      </c>
      <c r="C49" s="182"/>
      <c r="D49" s="188">
        <v>48</v>
      </c>
      <c r="E49" s="184">
        <v>41816.833333333336</v>
      </c>
      <c r="F49" s="190">
        <v>41816.833333333336</v>
      </c>
      <c r="G49" s="183" t="s">
        <v>146</v>
      </c>
      <c r="H49" s="183" t="s">
        <v>75</v>
      </c>
      <c r="I49" s="183" t="s">
        <v>76</v>
      </c>
      <c r="J49" s="183" t="s">
        <v>10</v>
      </c>
      <c r="K49" s="183" t="s">
        <v>126</v>
      </c>
      <c r="L49" s="189">
        <f t="shared" si="0"/>
        <v>41816</v>
      </c>
      <c r="M49" s="190">
        <f t="shared" si="1"/>
        <v>41816.645833333336</v>
      </c>
      <c r="N49" s="182"/>
      <c r="O49" s="182"/>
      <c r="P49" s="182"/>
      <c r="Q49" s="182"/>
      <c r="R49" s="182"/>
      <c r="S49" s="182"/>
    </row>
    <row r="50" spans="1:19" ht="12.95" customHeight="1" x14ac:dyDescent="0.25">
      <c r="A50" s="191" t="s">
        <v>215</v>
      </c>
      <c r="B50" s="192">
        <v>-1</v>
      </c>
      <c r="C50" s="182"/>
      <c r="D50" s="188">
        <v>49</v>
      </c>
      <c r="E50" s="184">
        <v>41818.666666666664</v>
      </c>
      <c r="F50" s="190">
        <v>41818.666666666664</v>
      </c>
      <c r="G50" s="183" t="s">
        <v>152</v>
      </c>
      <c r="H50" s="183" t="s">
        <v>216</v>
      </c>
      <c r="I50" s="183" t="s">
        <v>217</v>
      </c>
      <c r="J50" s="183" t="s">
        <v>218</v>
      </c>
      <c r="K50" s="183"/>
      <c r="L50" s="189">
        <f t="shared" si="0"/>
        <v>41818</v>
      </c>
      <c r="M50" s="190">
        <f t="shared" si="1"/>
        <v>41818.479166666664</v>
      </c>
      <c r="N50" s="182"/>
      <c r="O50" s="182"/>
      <c r="P50" s="182"/>
      <c r="Q50" s="182"/>
      <c r="R50" s="182"/>
      <c r="S50" s="182"/>
    </row>
    <row r="51" spans="1:19" ht="12.95" customHeight="1" x14ac:dyDescent="0.25">
      <c r="A51" s="191" t="s">
        <v>219</v>
      </c>
      <c r="B51" s="192">
        <v>-4</v>
      </c>
      <c r="C51" s="182"/>
      <c r="D51" s="188">
        <v>50</v>
      </c>
      <c r="E51" s="184">
        <v>41818.833333333336</v>
      </c>
      <c r="F51" s="190">
        <v>41818.833333333336</v>
      </c>
      <c r="G51" s="183" t="s">
        <v>139</v>
      </c>
      <c r="H51" s="183" t="s">
        <v>220</v>
      </c>
      <c r="I51" s="183" t="s">
        <v>221</v>
      </c>
      <c r="J51" s="183" t="s">
        <v>218</v>
      </c>
      <c r="K51" s="183"/>
      <c r="L51" s="189">
        <f t="shared" si="0"/>
        <v>41818</v>
      </c>
      <c r="M51" s="190">
        <f t="shared" si="1"/>
        <v>41818.645833333336</v>
      </c>
      <c r="N51" s="182"/>
      <c r="O51" s="182"/>
      <c r="P51" s="182"/>
      <c r="Q51" s="182"/>
      <c r="R51" s="182"/>
      <c r="S51" s="182"/>
    </row>
    <row r="52" spans="1:19" ht="12.95" customHeight="1" x14ac:dyDescent="0.25">
      <c r="A52" s="191" t="s">
        <v>222</v>
      </c>
      <c r="B52" s="192">
        <v>-6</v>
      </c>
      <c r="C52" s="182"/>
      <c r="D52" s="188">
        <v>51</v>
      </c>
      <c r="E52" s="184">
        <v>41819.666666666664</v>
      </c>
      <c r="F52" s="190">
        <v>41819.666666666664</v>
      </c>
      <c r="G52" s="183" t="s">
        <v>117</v>
      </c>
      <c r="H52" s="183" t="s">
        <v>223</v>
      </c>
      <c r="I52" s="183" t="s">
        <v>224</v>
      </c>
      <c r="J52" s="183" t="s">
        <v>218</v>
      </c>
      <c r="K52" s="183"/>
      <c r="L52" s="189">
        <f t="shared" si="0"/>
        <v>41819</v>
      </c>
      <c r="M52" s="190">
        <f t="shared" si="1"/>
        <v>41819.479166666664</v>
      </c>
      <c r="N52" s="182"/>
      <c r="O52" s="182"/>
      <c r="P52" s="182"/>
      <c r="Q52" s="182"/>
      <c r="R52" s="182"/>
      <c r="S52" s="182"/>
    </row>
    <row r="53" spans="1:19" ht="12.95" customHeight="1" x14ac:dyDescent="0.25">
      <c r="A53" s="191" t="s">
        <v>225</v>
      </c>
      <c r="B53" s="192">
        <v>8</v>
      </c>
      <c r="C53" s="182"/>
      <c r="D53" s="188">
        <v>52</v>
      </c>
      <c r="E53" s="184">
        <v>41819.833333333336</v>
      </c>
      <c r="F53" s="190">
        <v>41819.833333333336</v>
      </c>
      <c r="G53" s="183" t="s">
        <v>129</v>
      </c>
      <c r="H53" s="183" t="s">
        <v>226</v>
      </c>
      <c r="I53" s="183" t="s">
        <v>227</v>
      </c>
      <c r="J53" s="183" t="s">
        <v>218</v>
      </c>
      <c r="K53" s="183"/>
      <c r="L53" s="189">
        <f t="shared" si="0"/>
        <v>41819</v>
      </c>
      <c r="M53" s="190">
        <f t="shared" si="1"/>
        <v>41819.645833333336</v>
      </c>
      <c r="N53" s="182"/>
      <c r="O53" s="182"/>
      <c r="P53" s="182"/>
      <c r="Q53" s="182"/>
      <c r="R53" s="182"/>
      <c r="S53" s="182"/>
    </row>
    <row r="54" spans="1:19" ht="12.95" customHeight="1" x14ac:dyDescent="0.25">
      <c r="A54" s="191" t="s">
        <v>228</v>
      </c>
      <c r="B54" s="192">
        <v>2</v>
      </c>
      <c r="C54" s="182"/>
      <c r="D54" s="188">
        <v>53</v>
      </c>
      <c r="E54" s="184">
        <v>41820.666666666664</v>
      </c>
      <c r="F54" s="190">
        <v>41820.666666666664</v>
      </c>
      <c r="G54" s="183" t="s">
        <v>125</v>
      </c>
      <c r="H54" s="183" t="s">
        <v>229</v>
      </c>
      <c r="I54" s="183" t="s">
        <v>230</v>
      </c>
      <c r="J54" s="183" t="s">
        <v>218</v>
      </c>
      <c r="K54" s="183"/>
      <c r="L54" s="189">
        <f t="shared" si="0"/>
        <v>41820</v>
      </c>
      <c r="M54" s="190">
        <f t="shared" si="1"/>
        <v>41820.479166666664</v>
      </c>
      <c r="N54" s="182"/>
      <c r="O54" s="182"/>
      <c r="P54" s="182"/>
      <c r="Q54" s="182"/>
      <c r="R54" s="182"/>
      <c r="S54" s="182"/>
    </row>
    <row r="55" spans="1:19" ht="12.95" customHeight="1" x14ac:dyDescent="0.25">
      <c r="A55" s="191" t="s">
        <v>231</v>
      </c>
      <c r="B55" s="192">
        <v>-5</v>
      </c>
      <c r="C55" s="182"/>
      <c r="D55" s="188">
        <v>54</v>
      </c>
      <c r="E55" s="184">
        <v>41820.833333333336</v>
      </c>
      <c r="F55" s="190">
        <v>41820.833333333336</v>
      </c>
      <c r="G55" s="183" t="s">
        <v>143</v>
      </c>
      <c r="H55" s="183" t="s">
        <v>232</v>
      </c>
      <c r="I55" s="183" t="s">
        <v>233</v>
      </c>
      <c r="J55" s="183" t="s">
        <v>218</v>
      </c>
      <c r="K55" s="183"/>
      <c r="L55" s="189">
        <f t="shared" si="0"/>
        <v>41820</v>
      </c>
      <c r="M55" s="190">
        <f t="shared" si="1"/>
        <v>41820.645833333336</v>
      </c>
      <c r="N55" s="182"/>
      <c r="O55" s="182"/>
      <c r="P55" s="182"/>
      <c r="Q55" s="182"/>
      <c r="R55" s="182"/>
      <c r="S55" s="182"/>
    </row>
    <row r="56" spans="1:19" ht="12.95" customHeight="1" x14ac:dyDescent="0.25">
      <c r="A56" s="191" t="s">
        <v>234</v>
      </c>
      <c r="B56" s="192">
        <v>3</v>
      </c>
      <c r="C56" s="182"/>
      <c r="D56" s="188">
        <v>55</v>
      </c>
      <c r="E56" s="184">
        <v>41821.666666666664</v>
      </c>
      <c r="F56" s="190">
        <v>41821.666666666664</v>
      </c>
      <c r="G56" s="183" t="s">
        <v>109</v>
      </c>
      <c r="H56" s="183" t="s">
        <v>235</v>
      </c>
      <c r="I56" s="183" t="s">
        <v>236</v>
      </c>
      <c r="J56" s="183" t="s">
        <v>218</v>
      </c>
      <c r="K56" s="183"/>
      <c r="L56" s="189">
        <f t="shared" si="0"/>
        <v>41821</v>
      </c>
      <c r="M56" s="190">
        <f t="shared" si="1"/>
        <v>41821.479166666664</v>
      </c>
      <c r="N56" s="182"/>
      <c r="O56" s="182"/>
      <c r="P56" s="182"/>
      <c r="Q56" s="182"/>
      <c r="R56" s="182"/>
      <c r="S56" s="182"/>
    </row>
    <row r="57" spans="1:19" x14ac:dyDescent="0.25">
      <c r="A57" s="191" t="s">
        <v>237</v>
      </c>
      <c r="B57" s="192">
        <v>1</v>
      </c>
      <c r="C57" s="182"/>
      <c r="D57" s="188">
        <v>56</v>
      </c>
      <c r="E57" s="184">
        <v>41821.833333333336</v>
      </c>
      <c r="F57" s="190">
        <v>41821.833333333336</v>
      </c>
      <c r="G57" s="183" t="s">
        <v>133</v>
      </c>
      <c r="H57" s="183" t="s">
        <v>238</v>
      </c>
      <c r="I57" s="183" t="s">
        <v>239</v>
      </c>
      <c r="J57" s="183" t="s">
        <v>218</v>
      </c>
      <c r="K57" s="183"/>
      <c r="L57" s="189">
        <f t="shared" si="0"/>
        <v>41821</v>
      </c>
      <c r="M57" s="190">
        <f t="shared" si="1"/>
        <v>41821.645833333336</v>
      </c>
      <c r="N57" s="182"/>
      <c r="O57" s="182"/>
      <c r="P57" s="182"/>
      <c r="Q57" s="182"/>
      <c r="R57" s="182"/>
      <c r="S57" s="182"/>
    </row>
    <row r="58" spans="1:19" x14ac:dyDescent="0.25">
      <c r="A58" s="191" t="s">
        <v>240</v>
      </c>
      <c r="B58" s="192">
        <v>2</v>
      </c>
      <c r="C58" s="182"/>
      <c r="D58" s="188">
        <v>57</v>
      </c>
      <c r="E58" s="184">
        <v>41824.833333333336</v>
      </c>
      <c r="F58" s="190">
        <v>41824.833333333336</v>
      </c>
      <c r="G58" s="183" t="s">
        <v>117</v>
      </c>
      <c r="H58" s="183" t="s">
        <v>241</v>
      </c>
      <c r="I58" s="183" t="s">
        <v>242</v>
      </c>
      <c r="J58" s="183" t="s">
        <v>243</v>
      </c>
      <c r="K58" s="183"/>
      <c r="L58" s="189">
        <f t="shared" si="0"/>
        <v>41824</v>
      </c>
      <c r="M58" s="190">
        <f t="shared" si="1"/>
        <v>41824.645833333336</v>
      </c>
      <c r="N58" s="182"/>
      <c r="O58" s="182"/>
      <c r="P58" s="182"/>
      <c r="Q58" s="182"/>
      <c r="R58" s="182"/>
      <c r="S58" s="182"/>
    </row>
    <row r="59" spans="1:19" x14ac:dyDescent="0.25">
      <c r="A59" s="191" t="s">
        <v>244</v>
      </c>
      <c r="B59" s="192">
        <v>1</v>
      </c>
      <c r="C59" s="182"/>
      <c r="D59" s="188">
        <v>58</v>
      </c>
      <c r="E59" s="184">
        <v>41824.666666666664</v>
      </c>
      <c r="F59" s="190">
        <v>41824.666666666664</v>
      </c>
      <c r="G59" s="183" t="s">
        <v>139</v>
      </c>
      <c r="H59" s="183" t="s">
        <v>245</v>
      </c>
      <c r="I59" s="183" t="s">
        <v>246</v>
      </c>
      <c r="J59" s="183" t="s">
        <v>243</v>
      </c>
      <c r="K59" s="183"/>
      <c r="L59" s="189">
        <f t="shared" si="0"/>
        <v>41824</v>
      </c>
      <c r="M59" s="190">
        <f t="shared" si="1"/>
        <v>41824.479166666664</v>
      </c>
      <c r="N59" s="182"/>
      <c r="O59" s="182"/>
      <c r="P59" s="182"/>
      <c r="Q59" s="182"/>
      <c r="R59" s="182"/>
      <c r="S59" s="182"/>
    </row>
    <row r="60" spans="1:19" x14ac:dyDescent="0.25">
      <c r="A60" s="191" t="s">
        <v>247</v>
      </c>
      <c r="B60" s="192">
        <v>9</v>
      </c>
      <c r="C60" s="182"/>
      <c r="D60" s="188">
        <v>59</v>
      </c>
      <c r="E60" s="184">
        <v>41825.833333333336</v>
      </c>
      <c r="F60" s="190">
        <v>41825.833333333336</v>
      </c>
      <c r="G60" s="183" t="s">
        <v>133</v>
      </c>
      <c r="H60" s="183" t="s">
        <v>248</v>
      </c>
      <c r="I60" s="183" t="s">
        <v>249</v>
      </c>
      <c r="J60" s="183" t="s">
        <v>243</v>
      </c>
      <c r="K60" s="183"/>
      <c r="L60" s="189">
        <f t="shared" si="0"/>
        <v>41825</v>
      </c>
      <c r="M60" s="190">
        <f t="shared" si="1"/>
        <v>41825.645833333336</v>
      </c>
      <c r="N60" s="182"/>
      <c r="O60" s="182"/>
      <c r="P60" s="182"/>
      <c r="Q60" s="182"/>
      <c r="R60" s="182"/>
      <c r="S60" s="182"/>
    </row>
    <row r="61" spans="1:19" x14ac:dyDescent="0.25">
      <c r="A61" s="191" t="s">
        <v>250</v>
      </c>
      <c r="B61" s="192">
        <v>9</v>
      </c>
      <c r="C61" s="182"/>
      <c r="D61" s="188">
        <v>60</v>
      </c>
      <c r="E61" s="184">
        <v>41825.666666666664</v>
      </c>
      <c r="F61" s="190">
        <v>41825.666666666664</v>
      </c>
      <c r="G61" s="183" t="s">
        <v>125</v>
      </c>
      <c r="H61" s="183" t="s">
        <v>251</v>
      </c>
      <c r="I61" s="183" t="s">
        <v>252</v>
      </c>
      <c r="J61" s="183" t="s">
        <v>243</v>
      </c>
      <c r="K61" s="183"/>
      <c r="L61" s="189">
        <f t="shared" si="0"/>
        <v>41825</v>
      </c>
      <c r="M61" s="190">
        <f t="shared" si="1"/>
        <v>41825.479166666664</v>
      </c>
      <c r="N61" s="182"/>
      <c r="O61" s="182"/>
      <c r="P61" s="182"/>
      <c r="Q61" s="182"/>
      <c r="R61" s="182"/>
      <c r="S61" s="182"/>
    </row>
    <row r="62" spans="1:19" x14ac:dyDescent="0.25">
      <c r="A62" s="191" t="s">
        <v>253</v>
      </c>
      <c r="B62" s="192">
        <v>0</v>
      </c>
      <c r="C62" s="182"/>
      <c r="D62" s="188">
        <v>61</v>
      </c>
      <c r="E62" s="184">
        <v>41828.833333333336</v>
      </c>
      <c r="F62" s="190">
        <v>41828.833333333336</v>
      </c>
      <c r="G62" s="183" t="s">
        <v>152</v>
      </c>
      <c r="H62" s="183" t="s">
        <v>254</v>
      </c>
      <c r="I62" s="183" t="s">
        <v>255</v>
      </c>
      <c r="J62" s="183" t="s">
        <v>256</v>
      </c>
      <c r="K62" s="183"/>
      <c r="L62" s="189">
        <f t="shared" si="0"/>
        <v>41828</v>
      </c>
      <c r="M62" s="190">
        <f t="shared" si="1"/>
        <v>41828.645833333336</v>
      </c>
      <c r="N62" s="182"/>
      <c r="O62" s="182"/>
      <c r="P62" s="182"/>
      <c r="Q62" s="182"/>
      <c r="R62" s="182"/>
      <c r="S62" s="182"/>
    </row>
    <row r="63" spans="1:19" x14ac:dyDescent="0.25">
      <c r="A63" s="191" t="s">
        <v>55</v>
      </c>
      <c r="B63" s="192">
        <v>-6</v>
      </c>
      <c r="C63" s="182"/>
      <c r="D63" s="188">
        <v>62</v>
      </c>
      <c r="E63" s="184">
        <v>41829.833333333336</v>
      </c>
      <c r="F63" s="190">
        <v>41829.833333333336</v>
      </c>
      <c r="G63" s="183" t="s">
        <v>109</v>
      </c>
      <c r="H63" s="183" t="s">
        <v>257</v>
      </c>
      <c r="I63" s="183" t="s">
        <v>258</v>
      </c>
      <c r="J63" s="183" t="s">
        <v>256</v>
      </c>
      <c r="K63" s="183"/>
      <c r="L63" s="189">
        <f t="shared" si="0"/>
        <v>41829</v>
      </c>
      <c r="M63" s="190">
        <f t="shared" si="1"/>
        <v>41829.645833333336</v>
      </c>
      <c r="N63" s="182"/>
      <c r="O63" s="182"/>
      <c r="P63" s="182"/>
      <c r="Q63" s="182"/>
      <c r="R63" s="182"/>
      <c r="S63" s="182"/>
    </row>
    <row r="64" spans="1:19" x14ac:dyDescent="0.25">
      <c r="A64" s="191" t="s">
        <v>259</v>
      </c>
      <c r="B64" s="192">
        <v>1</v>
      </c>
      <c r="C64" s="182"/>
      <c r="D64" s="188">
        <v>63</v>
      </c>
      <c r="E64" s="184">
        <v>41832.833333333336</v>
      </c>
      <c r="F64" s="190">
        <v>41832.833333333336</v>
      </c>
      <c r="G64" s="183" t="s">
        <v>125</v>
      </c>
      <c r="H64" s="183" t="s">
        <v>260</v>
      </c>
      <c r="I64" s="183" t="s">
        <v>261</v>
      </c>
      <c r="J64" s="183" t="s">
        <v>262</v>
      </c>
      <c r="K64" s="183"/>
      <c r="L64" s="189">
        <f t="shared" si="0"/>
        <v>41832</v>
      </c>
      <c r="M64" s="190">
        <f t="shared" si="1"/>
        <v>41832.645833333336</v>
      </c>
      <c r="N64" s="182"/>
      <c r="O64" s="182"/>
      <c r="P64" s="182"/>
      <c r="Q64" s="182"/>
      <c r="R64" s="182"/>
      <c r="S64" s="182"/>
    </row>
    <row r="65" spans="1:19" x14ac:dyDescent="0.25">
      <c r="A65" s="191" t="s">
        <v>263</v>
      </c>
      <c r="B65" s="192">
        <v>-5</v>
      </c>
      <c r="C65" s="182"/>
      <c r="D65" s="188">
        <v>64</v>
      </c>
      <c r="E65" s="184">
        <v>41833.791666666664</v>
      </c>
      <c r="F65" s="190">
        <v>41833.791666666664</v>
      </c>
      <c r="G65" s="183" t="s">
        <v>139</v>
      </c>
      <c r="H65" s="183" t="s">
        <v>264</v>
      </c>
      <c r="I65" s="183" t="s">
        <v>265</v>
      </c>
      <c r="J65" s="183" t="s">
        <v>87</v>
      </c>
      <c r="K65" s="183"/>
      <c r="L65" s="189">
        <f t="shared" si="0"/>
        <v>41833</v>
      </c>
      <c r="M65" s="190">
        <f t="shared" si="1"/>
        <v>41833.604166666664</v>
      </c>
      <c r="N65" s="182"/>
      <c r="O65" s="182"/>
      <c r="P65" s="182"/>
      <c r="Q65" s="182"/>
      <c r="R65" s="182"/>
      <c r="S65" s="182"/>
    </row>
    <row r="66" spans="1:19" x14ac:dyDescent="0.25">
      <c r="A66" s="191" t="s">
        <v>266</v>
      </c>
      <c r="B66" s="192">
        <v>1</v>
      </c>
      <c r="C66" s="182"/>
      <c r="D66" s="188"/>
      <c r="E66" s="190"/>
      <c r="F66" s="183"/>
      <c r="G66" s="183"/>
      <c r="H66" s="183"/>
      <c r="I66" s="183"/>
      <c r="J66" s="183"/>
      <c r="K66" s="182"/>
      <c r="L66" s="190"/>
      <c r="M66" s="183"/>
      <c r="N66" s="182"/>
      <c r="O66" s="182"/>
      <c r="P66" s="182"/>
      <c r="Q66" s="182"/>
      <c r="R66" s="182"/>
      <c r="S66" s="182"/>
    </row>
    <row r="67" spans="1:19" x14ac:dyDescent="0.25">
      <c r="A67" s="191" t="s">
        <v>267</v>
      </c>
      <c r="B67" s="192">
        <v>-4</v>
      </c>
      <c r="C67" s="182"/>
      <c r="D67" s="188"/>
      <c r="E67" s="190"/>
      <c r="F67" s="183"/>
      <c r="G67" s="183"/>
      <c r="H67" s="183"/>
      <c r="I67" s="183"/>
      <c r="J67" s="183"/>
      <c r="K67" s="182"/>
      <c r="L67" s="190"/>
      <c r="M67" s="183"/>
      <c r="N67" s="182"/>
      <c r="O67" s="182"/>
      <c r="P67" s="182"/>
      <c r="Q67" s="182"/>
      <c r="R67" s="182"/>
      <c r="S67" s="182"/>
    </row>
    <row r="68" spans="1:19" x14ac:dyDescent="0.25">
      <c r="A68" s="191" t="s">
        <v>268</v>
      </c>
      <c r="B68" s="192">
        <v>-6</v>
      </c>
      <c r="C68" s="182"/>
      <c r="D68" s="188"/>
      <c r="E68" s="190"/>
      <c r="F68" s="183"/>
      <c r="G68" s="183"/>
      <c r="H68" s="183"/>
      <c r="I68" s="183"/>
      <c r="J68" s="183"/>
      <c r="K68" s="182"/>
      <c r="L68" s="190"/>
      <c r="M68" s="183"/>
      <c r="N68" s="182"/>
      <c r="O68" s="182"/>
      <c r="P68" s="182"/>
      <c r="Q68" s="182"/>
      <c r="R68" s="182"/>
      <c r="S68" s="182"/>
    </row>
    <row r="69" spans="1:19" x14ac:dyDescent="0.25">
      <c r="A69" s="191" t="s">
        <v>269</v>
      </c>
      <c r="B69" s="192">
        <v>-5</v>
      </c>
      <c r="C69" s="182"/>
      <c r="D69" s="188"/>
      <c r="E69" s="190"/>
      <c r="F69" s="183"/>
      <c r="G69" s="183"/>
      <c r="H69" s="183"/>
      <c r="I69" s="183"/>
      <c r="J69" s="183"/>
      <c r="K69" s="182"/>
      <c r="L69" s="190"/>
      <c r="M69" s="183"/>
      <c r="N69" s="182"/>
      <c r="O69" s="182"/>
      <c r="P69" s="182"/>
      <c r="Q69" s="182"/>
      <c r="R69" s="182"/>
      <c r="S69" s="182"/>
    </row>
    <row r="70" spans="1:19" x14ac:dyDescent="0.25">
      <c r="A70" s="191" t="s">
        <v>270</v>
      </c>
      <c r="B70" s="192">
        <v>2</v>
      </c>
      <c r="C70" s="182"/>
      <c r="D70" s="188"/>
      <c r="E70" s="190"/>
      <c r="F70" s="183"/>
      <c r="G70" s="183"/>
      <c r="H70" s="183"/>
      <c r="I70" s="183"/>
      <c r="J70" s="183"/>
      <c r="K70" s="182"/>
      <c r="L70" s="190"/>
      <c r="M70" s="183"/>
      <c r="N70" s="182"/>
      <c r="O70" s="182"/>
      <c r="P70" s="182"/>
      <c r="Q70" s="182"/>
      <c r="R70" s="182"/>
      <c r="S70" s="182"/>
    </row>
    <row r="71" spans="1:19" x14ac:dyDescent="0.25">
      <c r="A71" s="191" t="s">
        <v>271</v>
      </c>
      <c r="B71" s="192">
        <v>-6</v>
      </c>
      <c r="C71" s="182"/>
      <c r="D71" s="188"/>
      <c r="E71" s="190"/>
      <c r="F71" s="183"/>
      <c r="G71" s="183"/>
      <c r="H71" s="183"/>
      <c r="I71" s="183"/>
      <c r="J71" s="183"/>
      <c r="K71" s="182"/>
      <c r="L71" s="190"/>
      <c r="M71" s="183"/>
      <c r="N71" s="182"/>
      <c r="O71" s="182"/>
      <c r="P71" s="182"/>
      <c r="Q71" s="182"/>
      <c r="R71" s="182"/>
      <c r="S71" s="182"/>
    </row>
    <row r="72" spans="1:19" x14ac:dyDescent="0.25">
      <c r="A72" s="191" t="s">
        <v>272</v>
      </c>
      <c r="B72" s="192">
        <v>1</v>
      </c>
      <c r="C72" s="182"/>
      <c r="D72" s="188"/>
      <c r="E72" s="190"/>
      <c r="F72" s="183"/>
      <c r="G72" s="183"/>
      <c r="H72" s="183"/>
      <c r="I72" s="183"/>
      <c r="J72" s="183"/>
      <c r="K72" s="182"/>
      <c r="L72" s="190"/>
      <c r="M72" s="183"/>
      <c r="N72" s="182"/>
      <c r="O72" s="182"/>
      <c r="P72" s="182"/>
      <c r="Q72" s="182"/>
      <c r="R72" s="182"/>
      <c r="S72" s="182"/>
    </row>
    <row r="73" spans="1:19" x14ac:dyDescent="0.25">
      <c r="A73" s="191" t="s">
        <v>273</v>
      </c>
      <c r="B73" s="192">
        <v>4</v>
      </c>
      <c r="C73" s="182"/>
      <c r="D73" s="188"/>
      <c r="E73" s="190"/>
      <c r="F73" s="183"/>
      <c r="G73" s="183"/>
      <c r="H73" s="183"/>
      <c r="I73" s="183"/>
      <c r="J73" s="183"/>
      <c r="K73" s="182"/>
      <c r="L73" s="190"/>
      <c r="M73" s="183"/>
      <c r="N73" s="182"/>
      <c r="O73" s="182"/>
      <c r="P73" s="182"/>
      <c r="Q73" s="182"/>
      <c r="R73" s="182"/>
      <c r="S73" s="182"/>
    </row>
    <row r="74" spans="1:19" x14ac:dyDescent="0.25">
      <c r="A74" s="191" t="s">
        <v>274</v>
      </c>
      <c r="B74" s="192">
        <v>3</v>
      </c>
      <c r="C74" s="182"/>
      <c r="D74" s="188"/>
      <c r="E74" s="190"/>
      <c r="F74" s="183"/>
      <c r="G74" s="183"/>
      <c r="H74" s="183"/>
      <c r="I74" s="183"/>
      <c r="J74" s="183"/>
      <c r="K74" s="182"/>
      <c r="L74" s="190"/>
      <c r="M74" s="183"/>
      <c r="N74" s="182"/>
      <c r="O74" s="182"/>
      <c r="P74" s="182"/>
      <c r="Q74" s="182"/>
      <c r="R74" s="182"/>
      <c r="S74" s="182"/>
    </row>
    <row r="75" spans="1:19" x14ac:dyDescent="0.25">
      <c r="A75" s="191" t="s">
        <v>275</v>
      </c>
      <c r="B75" s="192">
        <v>1</v>
      </c>
      <c r="C75" s="182"/>
      <c r="D75" s="188"/>
      <c r="E75" s="190"/>
      <c r="F75" s="183"/>
      <c r="G75" s="183"/>
      <c r="H75" s="183"/>
      <c r="I75" s="183"/>
      <c r="J75" s="183"/>
      <c r="K75" s="182"/>
      <c r="L75" s="190"/>
      <c r="M75" s="183"/>
      <c r="N75" s="182"/>
      <c r="O75" s="182"/>
      <c r="P75" s="182"/>
      <c r="Q75" s="182"/>
      <c r="R75" s="182"/>
      <c r="S75" s="182"/>
    </row>
    <row r="76" spans="1:19" x14ac:dyDescent="0.25">
      <c r="A76" s="191" t="s">
        <v>276</v>
      </c>
      <c r="B76" s="192">
        <v>1</v>
      </c>
      <c r="C76" s="182"/>
      <c r="D76" s="188"/>
      <c r="E76" s="190"/>
      <c r="F76" s="183"/>
      <c r="G76" s="183"/>
      <c r="H76" s="183"/>
      <c r="I76" s="183"/>
      <c r="J76" s="183"/>
      <c r="K76" s="182"/>
      <c r="L76" s="190"/>
      <c r="M76" s="183"/>
      <c r="N76" s="182"/>
      <c r="O76" s="182"/>
      <c r="P76" s="182"/>
      <c r="Q76" s="182"/>
      <c r="R76" s="182"/>
      <c r="S76" s="182"/>
    </row>
    <row r="77" spans="1:19" x14ac:dyDescent="0.25">
      <c r="A77" s="191" t="s">
        <v>277</v>
      </c>
      <c r="B77" s="192">
        <v>0</v>
      </c>
      <c r="C77" s="182"/>
      <c r="D77" s="188"/>
      <c r="E77" s="190"/>
      <c r="F77" s="183"/>
      <c r="G77" s="183"/>
      <c r="H77" s="183"/>
      <c r="I77" s="183"/>
      <c r="J77" s="183"/>
      <c r="K77" s="182"/>
      <c r="L77" s="190"/>
      <c r="M77" s="183"/>
      <c r="N77" s="182"/>
      <c r="O77" s="182"/>
      <c r="P77" s="182"/>
      <c r="Q77" s="182"/>
      <c r="R77" s="182"/>
      <c r="S77" s="182"/>
    </row>
    <row r="78" spans="1:19" x14ac:dyDescent="0.25">
      <c r="A78" s="191" t="s">
        <v>278</v>
      </c>
      <c r="B78" s="192">
        <v>1</v>
      </c>
      <c r="C78" s="182"/>
      <c r="D78" s="188"/>
      <c r="E78" s="190"/>
      <c r="F78" s="183"/>
      <c r="G78" s="183"/>
      <c r="H78" s="183"/>
      <c r="I78" s="183"/>
      <c r="J78" s="183"/>
      <c r="K78" s="182"/>
      <c r="L78" s="190"/>
      <c r="M78" s="183"/>
      <c r="N78" s="182"/>
      <c r="O78" s="182"/>
      <c r="P78" s="182"/>
      <c r="Q78" s="182"/>
      <c r="R78" s="182"/>
      <c r="S78" s="182"/>
    </row>
    <row r="79" spans="1:19" x14ac:dyDescent="0.25">
      <c r="A79" s="191" t="s">
        <v>279</v>
      </c>
      <c r="B79" s="192">
        <v>-9</v>
      </c>
      <c r="C79" s="182"/>
      <c r="D79" s="188"/>
      <c r="E79" s="190"/>
      <c r="F79" s="183"/>
      <c r="G79" s="183"/>
      <c r="H79" s="183"/>
      <c r="I79" s="183"/>
      <c r="J79" s="183"/>
      <c r="K79" s="182"/>
      <c r="L79" s="190"/>
      <c r="M79" s="183"/>
      <c r="N79" s="182"/>
      <c r="O79" s="182"/>
      <c r="P79" s="182"/>
      <c r="Q79" s="182"/>
      <c r="R79" s="182"/>
      <c r="S79" s="182"/>
    </row>
    <row r="80" spans="1:19" x14ac:dyDescent="0.25">
      <c r="A80" s="191" t="s">
        <v>280</v>
      </c>
      <c r="B80" s="192">
        <v>-7</v>
      </c>
      <c r="C80" s="182"/>
      <c r="D80" s="188"/>
      <c r="E80" s="190"/>
      <c r="F80" s="183"/>
      <c r="G80" s="183"/>
      <c r="H80" s="183"/>
      <c r="I80" s="183"/>
      <c r="J80" s="183"/>
      <c r="K80" s="182"/>
      <c r="L80" s="190"/>
      <c r="M80" s="183"/>
      <c r="N80" s="182"/>
      <c r="O80" s="182"/>
      <c r="P80" s="182"/>
      <c r="Q80" s="182"/>
      <c r="R80" s="182"/>
      <c r="S80" s="182"/>
    </row>
    <row r="81" spans="1:19" x14ac:dyDescent="0.25">
      <c r="A81" s="191" t="s">
        <v>281</v>
      </c>
      <c r="B81" s="192">
        <v>-5</v>
      </c>
      <c r="C81" s="182"/>
      <c r="D81" s="182"/>
      <c r="E81" s="182"/>
      <c r="F81" s="182"/>
      <c r="G81" s="182"/>
      <c r="H81" s="182"/>
      <c r="I81" s="182"/>
      <c r="J81" s="182"/>
      <c r="K81" s="182"/>
      <c r="L81" s="182"/>
      <c r="M81" s="182"/>
      <c r="N81" s="182"/>
      <c r="O81" s="182"/>
      <c r="P81" s="182"/>
      <c r="Q81" s="182"/>
      <c r="R81" s="182"/>
      <c r="S81" s="182"/>
    </row>
    <row r="82" spans="1:19" x14ac:dyDescent="0.25">
      <c r="A82" s="191" t="s">
        <v>282</v>
      </c>
      <c r="B82" s="192">
        <v>-10</v>
      </c>
      <c r="C82" s="182"/>
      <c r="D82" s="182"/>
      <c r="E82" s="182"/>
      <c r="F82" s="182"/>
      <c r="G82" s="182"/>
      <c r="H82" s="182"/>
      <c r="I82" s="182"/>
      <c r="J82" s="182"/>
      <c r="K82" s="182"/>
      <c r="L82" s="182"/>
      <c r="M82" s="182"/>
      <c r="N82" s="182"/>
      <c r="O82" s="182"/>
      <c r="P82" s="182"/>
      <c r="Q82" s="182"/>
      <c r="R82" s="182"/>
      <c r="S82" s="182"/>
    </row>
    <row r="83" spans="1:19" x14ac:dyDescent="0.25">
      <c r="A83" s="191" t="s">
        <v>283</v>
      </c>
      <c r="B83" s="192">
        <v>-6</v>
      </c>
      <c r="C83" s="182"/>
      <c r="D83" s="182"/>
      <c r="E83" s="182"/>
      <c r="F83" s="182"/>
      <c r="G83" s="182"/>
      <c r="H83" s="182"/>
      <c r="I83" s="182"/>
      <c r="J83" s="182"/>
      <c r="K83" s="182"/>
      <c r="L83" s="182"/>
      <c r="M83" s="182"/>
      <c r="N83" s="182"/>
      <c r="O83" s="182"/>
      <c r="P83" s="182"/>
      <c r="Q83" s="182"/>
      <c r="R83" s="182"/>
      <c r="S83" s="182"/>
    </row>
    <row r="84" spans="1:19" x14ac:dyDescent="0.25">
      <c r="A84" s="191" t="s">
        <v>284</v>
      </c>
      <c r="B84" s="192">
        <v>-8</v>
      </c>
      <c r="C84" s="182"/>
      <c r="D84" s="182"/>
      <c r="E84" s="182"/>
      <c r="F84" s="182"/>
      <c r="G84" s="182"/>
      <c r="H84" s="182"/>
      <c r="I84" s="182"/>
      <c r="J84" s="182"/>
      <c r="K84" s="182"/>
      <c r="L84" s="182"/>
      <c r="M84" s="182"/>
      <c r="N84" s="182"/>
      <c r="O84" s="182"/>
      <c r="P84" s="182"/>
      <c r="Q84" s="182"/>
      <c r="R84" s="182"/>
      <c r="S84" s="182"/>
    </row>
    <row r="85" spans="1:19" x14ac:dyDescent="0.25">
      <c r="A85" s="191" t="s">
        <v>285</v>
      </c>
      <c r="B85" s="192">
        <v>2</v>
      </c>
      <c r="C85" s="182"/>
      <c r="D85" s="182"/>
      <c r="E85" s="184"/>
      <c r="F85" s="190"/>
      <c r="G85" s="183"/>
      <c r="H85" s="183"/>
      <c r="I85" s="183"/>
      <c r="J85" s="182"/>
      <c r="K85" s="182"/>
      <c r="L85" s="182"/>
      <c r="M85" s="182"/>
      <c r="N85" s="182"/>
      <c r="O85" s="182"/>
      <c r="P85" s="182"/>
      <c r="Q85" s="182"/>
      <c r="R85" s="182"/>
      <c r="S85" s="182"/>
    </row>
    <row r="86" spans="1:19" x14ac:dyDescent="0.25">
      <c r="A86" s="191" t="s">
        <v>286</v>
      </c>
      <c r="B86" s="192">
        <v>3</v>
      </c>
      <c r="C86" s="182"/>
      <c r="D86" s="182"/>
      <c r="E86" s="184"/>
      <c r="F86" s="190"/>
      <c r="G86" s="183"/>
      <c r="H86" s="183"/>
      <c r="I86" s="183"/>
      <c r="J86" s="182"/>
      <c r="K86" s="182"/>
      <c r="L86" s="182"/>
      <c r="M86" s="182"/>
      <c r="N86" s="182"/>
      <c r="O86" s="182"/>
      <c r="P86" s="182"/>
      <c r="Q86" s="182"/>
      <c r="R86" s="182"/>
      <c r="S86" s="182"/>
    </row>
    <row r="87" spans="1:19" x14ac:dyDescent="0.25">
      <c r="A87" s="191" t="s">
        <v>287</v>
      </c>
      <c r="B87" s="192">
        <v>8</v>
      </c>
      <c r="C87" s="182"/>
      <c r="D87" s="182"/>
      <c r="E87" s="184"/>
      <c r="F87" s="190"/>
      <c r="G87" s="183"/>
      <c r="H87" s="183"/>
      <c r="I87" s="183"/>
      <c r="J87" s="182"/>
      <c r="K87" s="182"/>
      <c r="L87" s="182"/>
      <c r="M87" s="182"/>
      <c r="N87" s="182"/>
      <c r="O87" s="182"/>
      <c r="P87" s="182"/>
      <c r="Q87" s="182"/>
      <c r="R87" s="182"/>
      <c r="S87" s="182"/>
    </row>
    <row r="88" spans="1:19" x14ac:dyDescent="0.25">
      <c r="A88" s="191" t="s">
        <v>288</v>
      </c>
      <c r="B88" s="192">
        <v>2</v>
      </c>
      <c r="C88" s="182"/>
      <c r="D88" s="182"/>
      <c r="E88" s="184"/>
      <c r="F88" s="190"/>
      <c r="G88" s="184"/>
      <c r="H88" s="184"/>
      <c r="I88" s="184"/>
      <c r="J88" s="182"/>
      <c r="K88" s="182"/>
      <c r="L88" s="182"/>
      <c r="M88" s="182"/>
      <c r="N88" s="182"/>
      <c r="O88" s="182"/>
      <c r="P88" s="182"/>
      <c r="Q88" s="182"/>
      <c r="R88" s="182"/>
      <c r="S88" s="182"/>
    </row>
    <row r="89" spans="1:19" x14ac:dyDescent="0.25">
      <c r="A89" s="191" t="s">
        <v>289</v>
      </c>
      <c r="B89" s="192">
        <v>12</v>
      </c>
      <c r="C89" s="182"/>
      <c r="D89" s="182"/>
      <c r="E89" s="182"/>
      <c r="F89" s="182"/>
      <c r="G89" s="182"/>
      <c r="H89" s="182"/>
      <c r="I89" s="182"/>
      <c r="J89" s="182"/>
      <c r="K89" s="182"/>
      <c r="L89" s="182"/>
      <c r="M89" s="182"/>
      <c r="N89" s="182"/>
      <c r="O89" s="182"/>
      <c r="P89" s="182"/>
      <c r="Q89" s="182"/>
      <c r="R89" s="182"/>
      <c r="S89" s="182"/>
    </row>
    <row r="90" spans="1:19" x14ac:dyDescent="0.25">
      <c r="A90" s="191" t="s">
        <v>290</v>
      </c>
      <c r="B90" s="192">
        <v>1</v>
      </c>
      <c r="C90" s="182"/>
      <c r="D90" s="182"/>
      <c r="E90" s="182"/>
      <c r="F90" s="182"/>
      <c r="G90" s="182"/>
      <c r="H90" s="182"/>
      <c r="I90" s="182"/>
      <c r="J90" s="182"/>
      <c r="K90" s="182"/>
      <c r="L90" s="182"/>
      <c r="M90" s="182"/>
      <c r="N90" s="182"/>
      <c r="O90" s="182"/>
      <c r="P90" s="182"/>
      <c r="Q90" s="182"/>
      <c r="R90" s="182"/>
      <c r="S90" s="182"/>
    </row>
    <row r="91" spans="1:19" x14ac:dyDescent="0.25">
      <c r="A91" s="191" t="s">
        <v>291</v>
      </c>
      <c r="B91" s="192">
        <v>-3</v>
      </c>
      <c r="C91" s="182"/>
      <c r="D91" s="182"/>
      <c r="E91" s="182"/>
      <c r="F91" s="182"/>
      <c r="G91" s="182"/>
      <c r="H91" s="182"/>
      <c r="I91" s="182"/>
      <c r="J91" s="182"/>
      <c r="K91" s="182"/>
      <c r="L91" s="182"/>
      <c r="M91" s="182"/>
      <c r="N91" s="182"/>
      <c r="O91" s="182"/>
      <c r="P91" s="182"/>
      <c r="Q91" s="182"/>
      <c r="R91" s="182"/>
      <c r="S91" s="182"/>
    </row>
    <row r="92" spans="1:19" x14ac:dyDescent="0.25">
      <c r="A92" s="191" t="s">
        <v>292</v>
      </c>
      <c r="B92" s="192">
        <v>1</v>
      </c>
      <c r="C92" s="182"/>
      <c r="D92" s="182"/>
      <c r="E92" s="182"/>
      <c r="F92" s="182"/>
      <c r="G92" s="182"/>
      <c r="H92" s="182"/>
      <c r="I92" s="182"/>
      <c r="J92" s="182"/>
      <c r="K92" s="182"/>
      <c r="L92" s="182"/>
      <c r="M92" s="182"/>
      <c r="N92" s="182"/>
      <c r="O92" s="182"/>
      <c r="P92" s="182"/>
      <c r="Q92" s="182"/>
      <c r="R92" s="182"/>
      <c r="S92" s="182"/>
    </row>
    <row r="93" spans="1:19" x14ac:dyDescent="0.25">
      <c r="A93" s="191" t="s">
        <v>293</v>
      </c>
      <c r="B93" s="192">
        <v>0</v>
      </c>
      <c r="C93" s="182"/>
      <c r="D93" s="182"/>
      <c r="E93" s="182"/>
      <c r="F93" s="182"/>
      <c r="G93" s="182"/>
      <c r="H93" s="182"/>
      <c r="I93" s="182"/>
      <c r="J93" s="182"/>
      <c r="K93" s="182"/>
      <c r="L93" s="182"/>
      <c r="M93" s="182"/>
      <c r="N93" s="182"/>
      <c r="O93" s="182"/>
      <c r="P93" s="182"/>
      <c r="Q93" s="182"/>
      <c r="R93" s="182"/>
      <c r="S93" s="182"/>
    </row>
    <row r="94" spans="1:19" x14ac:dyDescent="0.25">
      <c r="A94" s="191" t="s">
        <v>294</v>
      </c>
      <c r="B94" s="192">
        <v>4</v>
      </c>
      <c r="C94" s="182"/>
      <c r="D94" s="182"/>
      <c r="E94" s="182"/>
      <c r="F94" s="182"/>
      <c r="G94" s="182"/>
      <c r="H94" s="182"/>
      <c r="I94" s="182"/>
      <c r="J94" s="182"/>
      <c r="K94" s="182"/>
      <c r="L94" s="182"/>
      <c r="M94" s="182"/>
      <c r="N94" s="182"/>
      <c r="O94" s="182"/>
      <c r="P94" s="182"/>
      <c r="Q94" s="182"/>
      <c r="R94" s="182"/>
      <c r="S94" s="182"/>
    </row>
    <row r="95" spans="1:19" x14ac:dyDescent="0.25">
      <c r="A95" s="191" t="s">
        <v>295</v>
      </c>
      <c r="B95" s="192">
        <v>0</v>
      </c>
      <c r="C95" s="182"/>
      <c r="D95" s="182"/>
      <c r="E95" s="182"/>
      <c r="F95" s="182"/>
      <c r="G95" s="182"/>
      <c r="H95" s="182"/>
      <c r="I95" s="182"/>
      <c r="J95" s="182"/>
      <c r="K95" s="182"/>
      <c r="L95" s="182"/>
      <c r="M95" s="182"/>
      <c r="N95" s="182"/>
      <c r="O95" s="182"/>
      <c r="P95" s="182"/>
      <c r="Q95" s="182"/>
      <c r="R95" s="182"/>
      <c r="S95" s="182"/>
    </row>
    <row r="96" spans="1:19" x14ac:dyDescent="0.25">
      <c r="A96" s="191" t="s">
        <v>296</v>
      </c>
      <c r="B96" s="192">
        <v>1</v>
      </c>
      <c r="C96" s="182"/>
      <c r="D96" s="182"/>
      <c r="E96" s="182"/>
      <c r="F96" s="182"/>
      <c r="G96" s="182"/>
      <c r="H96" s="182"/>
      <c r="I96" s="182"/>
      <c r="J96" s="182"/>
      <c r="K96" s="182"/>
      <c r="L96" s="182"/>
      <c r="M96" s="182"/>
      <c r="N96" s="182"/>
      <c r="O96" s="182"/>
      <c r="P96" s="182"/>
      <c r="Q96" s="182"/>
      <c r="R96" s="182"/>
      <c r="S96" s="182"/>
    </row>
    <row r="97" spans="1:19" x14ac:dyDescent="0.25">
      <c r="A97" s="191" t="s">
        <v>297</v>
      </c>
      <c r="B97" s="192">
        <v>-4</v>
      </c>
      <c r="C97" s="182"/>
      <c r="D97" s="182"/>
      <c r="E97" s="182"/>
      <c r="F97" s="182"/>
      <c r="G97" s="182"/>
      <c r="H97" s="182"/>
      <c r="I97" s="182"/>
      <c r="J97" s="182"/>
      <c r="K97" s="182"/>
      <c r="L97" s="182"/>
      <c r="M97" s="182"/>
      <c r="N97" s="182"/>
      <c r="O97" s="182"/>
      <c r="P97" s="182"/>
      <c r="Q97" s="182"/>
      <c r="R97" s="182"/>
      <c r="S97" s="182"/>
    </row>
    <row r="98" spans="1:19" x14ac:dyDescent="0.25">
      <c r="A98" s="191" t="s">
        <v>298</v>
      </c>
      <c r="B98" s="192">
        <v>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2"/>
      <c r="M98" s="182"/>
      <c r="N98" s="182"/>
      <c r="O98" s="182"/>
      <c r="P98" s="182"/>
      <c r="Q98" s="182"/>
      <c r="R98" s="182"/>
      <c r="S98" s="182"/>
    </row>
    <row r="99" spans="1:19" x14ac:dyDescent="0.25">
      <c r="A99" s="191" t="s">
        <v>299</v>
      </c>
      <c r="B99" s="192">
        <v>-3</v>
      </c>
      <c r="C99" s="182"/>
      <c r="D99" s="182"/>
      <c r="E99" s="182"/>
      <c r="F99" s="182"/>
      <c r="G99" s="182"/>
      <c r="H99" s="182"/>
      <c r="I99" s="182"/>
      <c r="J99" s="182"/>
      <c r="K99" s="182"/>
      <c r="L99" s="182"/>
      <c r="M99" s="182"/>
      <c r="N99" s="182"/>
      <c r="O99" s="182"/>
      <c r="P99" s="182"/>
      <c r="Q99" s="182"/>
      <c r="R99" s="182"/>
      <c r="S99" s="182"/>
    </row>
    <row r="100" spans="1:19" x14ac:dyDescent="0.25">
      <c r="A100" s="191" t="s">
        <v>300</v>
      </c>
      <c r="B100" s="192">
        <v>-1</v>
      </c>
      <c r="C100" s="182"/>
      <c r="D100" s="182"/>
      <c r="E100" s="182"/>
      <c r="F100" s="182"/>
      <c r="G100" s="182"/>
      <c r="H100" s="182"/>
      <c r="I100" s="182"/>
      <c r="J100" s="182"/>
      <c r="K100" s="182"/>
      <c r="L100" s="182"/>
      <c r="M100" s="182"/>
      <c r="N100" s="182"/>
      <c r="O100" s="182"/>
      <c r="P100" s="182"/>
      <c r="Q100" s="182"/>
      <c r="R100" s="182"/>
      <c r="S100" s="182"/>
    </row>
    <row r="101" spans="1:19" x14ac:dyDescent="0.25">
      <c r="A101" s="191" t="s">
        <v>301</v>
      </c>
      <c r="B101" s="192">
        <v>-4</v>
      </c>
      <c r="C101" s="182"/>
      <c r="D101" s="182"/>
      <c r="E101" s="182"/>
      <c r="F101" s="182"/>
      <c r="G101" s="182"/>
      <c r="H101" s="182"/>
      <c r="I101" s="182"/>
      <c r="J101" s="182"/>
      <c r="K101" s="182"/>
      <c r="L101" s="182"/>
      <c r="M101" s="182"/>
      <c r="N101" s="182"/>
      <c r="O101" s="182"/>
      <c r="P101" s="182"/>
      <c r="Q101" s="182"/>
      <c r="R101" s="182"/>
      <c r="S101" s="182"/>
    </row>
    <row r="102" spans="1:19" x14ac:dyDescent="0.25">
      <c r="A102" s="191" t="s">
        <v>302</v>
      </c>
      <c r="B102" s="192">
        <v>0</v>
      </c>
      <c r="C102" s="182"/>
      <c r="D102" s="182"/>
      <c r="E102" s="182"/>
      <c r="F102" s="182"/>
      <c r="G102" s="182"/>
      <c r="H102" s="182"/>
      <c r="I102" s="182"/>
      <c r="J102" s="182"/>
      <c r="K102" s="182"/>
      <c r="L102" s="182"/>
      <c r="M102" s="182"/>
      <c r="N102" s="182"/>
      <c r="O102" s="182"/>
      <c r="P102" s="182"/>
      <c r="Q102" s="182"/>
      <c r="R102" s="182"/>
      <c r="S102" s="182"/>
    </row>
    <row r="103" spans="1:19" x14ac:dyDescent="0.25">
      <c r="A103" s="191" t="s">
        <v>303</v>
      </c>
      <c r="B103" s="192">
        <v>-4</v>
      </c>
      <c r="C103" s="182"/>
      <c r="D103" s="182"/>
      <c r="E103" s="182"/>
      <c r="F103" s="182"/>
      <c r="G103" s="182"/>
      <c r="H103" s="182"/>
      <c r="I103" s="182"/>
      <c r="J103" s="182"/>
      <c r="K103" s="182"/>
      <c r="L103" s="182"/>
      <c r="M103" s="182"/>
      <c r="N103" s="182"/>
      <c r="O103" s="182"/>
      <c r="P103" s="182"/>
      <c r="Q103" s="182"/>
      <c r="R103" s="182"/>
      <c r="S103" s="182"/>
    </row>
    <row r="104" spans="1:19" x14ac:dyDescent="0.25">
      <c r="A104" s="191" t="s">
        <v>304</v>
      </c>
      <c r="B104" s="192">
        <v>-6</v>
      </c>
      <c r="C104" s="182"/>
      <c r="D104" s="182"/>
      <c r="E104" s="182"/>
      <c r="F104" s="182"/>
      <c r="G104" s="182"/>
      <c r="H104" s="182"/>
      <c r="I104" s="182"/>
      <c r="J104" s="182"/>
      <c r="K104" s="182"/>
      <c r="L104" s="182"/>
      <c r="M104" s="182"/>
      <c r="N104" s="182"/>
      <c r="O104" s="182"/>
      <c r="P104" s="182"/>
      <c r="Q104" s="182"/>
      <c r="R104" s="182"/>
      <c r="S104" s="182"/>
    </row>
    <row r="105" spans="1:19" x14ac:dyDescent="0.25">
      <c r="A105" s="191" t="s">
        <v>305</v>
      </c>
      <c r="B105" s="192">
        <v>0</v>
      </c>
      <c r="C105" s="182"/>
      <c r="D105" s="182"/>
      <c r="E105" s="182"/>
      <c r="F105" s="182"/>
      <c r="G105" s="182"/>
      <c r="H105" s="182"/>
      <c r="I105" s="182"/>
      <c r="J105" s="182"/>
      <c r="K105" s="182"/>
      <c r="L105" s="182"/>
      <c r="M105" s="182"/>
      <c r="N105" s="182"/>
      <c r="O105" s="182"/>
      <c r="P105" s="182"/>
      <c r="Q105" s="182"/>
      <c r="R105" s="182"/>
      <c r="S105" s="182"/>
    </row>
    <row r="106" spans="1:19" x14ac:dyDescent="0.25">
      <c r="A106" s="191" t="s">
        <v>306</v>
      </c>
      <c r="B106" s="192">
        <v>0</v>
      </c>
      <c r="C106" s="182"/>
      <c r="D106" s="182"/>
      <c r="E106" s="182"/>
      <c r="F106" s="182"/>
      <c r="G106" s="182"/>
      <c r="H106" s="182"/>
      <c r="I106" s="182"/>
      <c r="J106" s="182"/>
      <c r="K106" s="182"/>
      <c r="L106" s="182"/>
      <c r="M106" s="182"/>
      <c r="N106" s="182"/>
      <c r="O106" s="182"/>
      <c r="P106" s="182"/>
      <c r="Q106" s="182"/>
      <c r="R106" s="182"/>
      <c r="S106" s="182"/>
    </row>
    <row r="107" spans="1:19" x14ac:dyDescent="0.25">
      <c r="A107" s="191" t="s">
        <v>307</v>
      </c>
      <c r="B107" s="192">
        <v>1</v>
      </c>
      <c r="C107" s="182"/>
      <c r="D107" s="182"/>
      <c r="E107" s="182"/>
      <c r="F107" s="182"/>
      <c r="G107" s="182"/>
      <c r="H107" s="182"/>
      <c r="I107" s="182"/>
      <c r="J107" s="182"/>
      <c r="K107" s="182"/>
      <c r="L107" s="182"/>
      <c r="M107" s="182"/>
      <c r="N107" s="182"/>
      <c r="O107" s="182"/>
      <c r="P107" s="182"/>
      <c r="Q107" s="182"/>
      <c r="R107" s="182"/>
      <c r="S107" s="182"/>
    </row>
    <row r="108" spans="1:19" x14ac:dyDescent="0.25">
      <c r="A108" s="191" t="s">
        <v>308</v>
      </c>
      <c r="B108" s="192">
        <v>0</v>
      </c>
      <c r="C108" s="182"/>
      <c r="D108" s="182"/>
      <c r="E108" s="182"/>
      <c r="F108" s="182"/>
      <c r="G108" s="182"/>
      <c r="H108" s="182"/>
      <c r="I108" s="182"/>
      <c r="J108" s="182"/>
      <c r="K108" s="182"/>
      <c r="L108" s="182"/>
      <c r="M108" s="182"/>
      <c r="N108" s="182"/>
      <c r="O108" s="182"/>
      <c r="P108" s="182"/>
      <c r="Q108" s="182"/>
      <c r="R108" s="182"/>
      <c r="S108" s="182"/>
    </row>
    <row r="109" spans="1:19" x14ac:dyDescent="0.25">
      <c r="A109" s="191" t="s">
        <v>309</v>
      </c>
      <c r="B109" s="192">
        <v>-4</v>
      </c>
      <c r="C109" s="182"/>
      <c r="D109" s="182"/>
      <c r="E109" s="182"/>
      <c r="F109" s="182"/>
      <c r="G109" s="182"/>
      <c r="H109" s="182"/>
      <c r="I109" s="182"/>
      <c r="J109" s="182"/>
      <c r="K109" s="182"/>
      <c r="L109" s="182"/>
      <c r="M109" s="182"/>
      <c r="N109" s="182"/>
      <c r="O109" s="182"/>
      <c r="P109" s="182"/>
      <c r="Q109" s="182"/>
      <c r="R109" s="182"/>
      <c r="S109" s="182"/>
    </row>
    <row r="110" spans="1:19" x14ac:dyDescent="0.25">
      <c r="A110" s="191" t="s">
        <v>310</v>
      </c>
      <c r="B110" s="192">
        <v>-5</v>
      </c>
      <c r="C110" s="182"/>
      <c r="D110" s="182"/>
      <c r="E110" s="182"/>
      <c r="F110" s="182"/>
      <c r="G110" s="182"/>
      <c r="H110" s="182"/>
      <c r="I110" s="182"/>
      <c r="J110" s="182"/>
      <c r="K110" s="182"/>
      <c r="L110" s="182"/>
      <c r="M110" s="182"/>
      <c r="N110" s="182"/>
      <c r="O110" s="182"/>
      <c r="P110" s="182"/>
      <c r="Q110" s="182"/>
      <c r="R110" s="182"/>
      <c r="S110" s="182"/>
    </row>
    <row r="111" spans="1:19" x14ac:dyDescent="0.25">
      <c r="A111" s="191" t="s">
        <v>62</v>
      </c>
      <c r="B111" s="192">
        <v>-6</v>
      </c>
      <c r="C111" s="182"/>
      <c r="D111" s="182"/>
      <c r="E111" s="182"/>
      <c r="F111" s="182"/>
      <c r="G111" s="182"/>
      <c r="H111" s="182"/>
      <c r="I111" s="182"/>
      <c r="J111" s="182"/>
      <c r="K111" s="182"/>
      <c r="L111" s="182"/>
      <c r="M111" s="182"/>
      <c r="N111" s="182"/>
      <c r="O111" s="182"/>
      <c r="P111" s="182"/>
      <c r="Q111" s="182"/>
      <c r="R111" s="182"/>
      <c r="S111" s="182"/>
    </row>
    <row r="112" spans="1:19" x14ac:dyDescent="0.25">
      <c r="A112" s="191" t="s">
        <v>311</v>
      </c>
      <c r="B112" s="192">
        <v>8</v>
      </c>
      <c r="C112" s="182"/>
      <c r="D112" s="182"/>
      <c r="E112" s="182"/>
      <c r="F112" s="182"/>
      <c r="G112" s="182"/>
      <c r="H112" s="182"/>
      <c r="I112" s="182"/>
      <c r="J112" s="182"/>
      <c r="K112" s="182"/>
      <c r="L112" s="182"/>
      <c r="M112" s="182"/>
      <c r="N112" s="182"/>
      <c r="O112" s="182"/>
      <c r="P112" s="182"/>
      <c r="Q112" s="182"/>
      <c r="R112" s="182"/>
      <c r="S112" s="182"/>
    </row>
    <row r="113" spans="1:19" x14ac:dyDescent="0.25">
      <c r="A113" s="191" t="s">
        <v>312</v>
      </c>
      <c r="B113" s="192">
        <v>1</v>
      </c>
      <c r="C113" s="182"/>
      <c r="D113" s="182"/>
      <c r="E113" s="182"/>
      <c r="F113" s="182"/>
      <c r="G113" s="182"/>
      <c r="H113" s="182"/>
      <c r="I113" s="182"/>
      <c r="J113" s="182"/>
      <c r="K113" s="182"/>
      <c r="L113" s="182"/>
      <c r="M113" s="182"/>
      <c r="N113" s="182"/>
      <c r="O113" s="182"/>
      <c r="P113" s="182"/>
      <c r="Q113" s="182"/>
      <c r="R113" s="182"/>
      <c r="S113" s="182"/>
    </row>
    <row r="114" spans="1:19" x14ac:dyDescent="0.25">
      <c r="A114" s="191" t="s">
        <v>313</v>
      </c>
      <c r="B114" s="192">
        <v>5.5</v>
      </c>
      <c r="C114" s="182"/>
      <c r="D114" s="182"/>
      <c r="E114" s="182"/>
      <c r="F114" s="182"/>
      <c r="G114" s="182"/>
      <c r="H114" s="182"/>
      <c r="I114" s="182"/>
      <c r="J114" s="182"/>
      <c r="K114" s="182"/>
      <c r="L114" s="182"/>
      <c r="M114" s="182"/>
      <c r="N114" s="182"/>
      <c r="O114" s="182"/>
      <c r="P114" s="182"/>
      <c r="Q114" s="182"/>
      <c r="R114" s="182"/>
      <c r="S114" s="182"/>
    </row>
    <row r="115" spans="1:19" x14ac:dyDescent="0.25">
      <c r="A115" s="191" t="s">
        <v>314</v>
      </c>
      <c r="B115" s="192">
        <v>9</v>
      </c>
      <c r="C115" s="182"/>
      <c r="D115" s="182"/>
      <c r="E115" s="182"/>
      <c r="F115" s="182"/>
      <c r="G115" s="182"/>
      <c r="H115" s="182"/>
      <c r="I115" s="182"/>
      <c r="J115" s="182"/>
      <c r="K115" s="182"/>
      <c r="L115" s="182"/>
      <c r="M115" s="182"/>
      <c r="N115" s="182"/>
      <c r="O115" s="182"/>
      <c r="P115" s="182"/>
      <c r="Q115" s="182"/>
      <c r="R115" s="182"/>
      <c r="S115" s="182"/>
    </row>
    <row r="116" spans="1:19" x14ac:dyDescent="0.25">
      <c r="A116" s="191" t="s">
        <v>315</v>
      </c>
      <c r="B116" s="192">
        <v>8</v>
      </c>
      <c r="C116" s="182"/>
      <c r="D116" s="182"/>
      <c r="E116" s="182"/>
      <c r="F116" s="182"/>
      <c r="G116" s="182"/>
      <c r="H116" s="182"/>
      <c r="I116" s="182"/>
      <c r="J116" s="182"/>
      <c r="K116" s="182"/>
      <c r="L116" s="182"/>
      <c r="M116" s="182"/>
      <c r="N116" s="182"/>
      <c r="O116" s="182"/>
      <c r="P116" s="182"/>
      <c r="Q116" s="182"/>
      <c r="R116" s="182"/>
      <c r="S116" s="182"/>
    </row>
    <row r="117" spans="1:19" x14ac:dyDescent="0.25">
      <c r="A117" s="191" t="s">
        <v>316</v>
      </c>
      <c r="B117" s="192">
        <v>7</v>
      </c>
      <c r="C117" s="182"/>
      <c r="D117" s="182"/>
      <c r="E117" s="182"/>
      <c r="F117" s="182"/>
      <c r="G117" s="182"/>
      <c r="H117" s="182"/>
      <c r="I117" s="182"/>
      <c r="J117" s="182"/>
      <c r="K117" s="182"/>
      <c r="L117" s="182"/>
      <c r="M117" s="182"/>
      <c r="N117" s="182"/>
      <c r="O117" s="182"/>
      <c r="P117" s="182"/>
      <c r="Q117" s="182"/>
      <c r="R117" s="182"/>
      <c r="S117" s="182"/>
    </row>
    <row r="118" spans="1:19" x14ac:dyDescent="0.25">
      <c r="A118" s="191" t="s">
        <v>317</v>
      </c>
      <c r="B118" s="192">
        <v>3.5</v>
      </c>
      <c r="C118" s="182"/>
      <c r="D118" s="182"/>
      <c r="E118" s="182"/>
      <c r="F118" s="182"/>
      <c r="G118" s="182"/>
      <c r="H118" s="182"/>
      <c r="I118" s="182"/>
      <c r="J118" s="182"/>
      <c r="K118" s="182"/>
      <c r="L118" s="182"/>
      <c r="M118" s="182"/>
      <c r="N118" s="182"/>
      <c r="O118" s="182"/>
      <c r="P118" s="182"/>
      <c r="Q118" s="182"/>
      <c r="R118" s="182"/>
      <c r="S118" s="182"/>
    </row>
    <row r="119" spans="1:19" x14ac:dyDescent="0.25">
      <c r="A119" s="191" t="s">
        <v>318</v>
      </c>
      <c r="B119" s="192">
        <v>3</v>
      </c>
      <c r="C119" s="182"/>
      <c r="D119" s="182"/>
      <c r="E119" s="182"/>
      <c r="F119" s="182"/>
      <c r="G119" s="182"/>
      <c r="H119" s="182"/>
      <c r="I119" s="182"/>
      <c r="J119" s="182"/>
      <c r="K119" s="182"/>
      <c r="L119" s="182"/>
      <c r="M119" s="182"/>
      <c r="N119" s="182"/>
      <c r="O119" s="182"/>
      <c r="P119" s="182"/>
      <c r="Q119" s="182"/>
      <c r="R119" s="182"/>
      <c r="S119" s="182"/>
    </row>
    <row r="120" spans="1:19" x14ac:dyDescent="0.25">
      <c r="A120" s="191" t="s">
        <v>319</v>
      </c>
      <c r="B120" s="192">
        <v>0</v>
      </c>
      <c r="C120" s="182"/>
      <c r="D120" s="182"/>
      <c r="E120" s="182"/>
      <c r="F120" s="182"/>
      <c r="G120" s="182"/>
      <c r="H120" s="182"/>
      <c r="I120" s="182"/>
      <c r="J120" s="182"/>
      <c r="K120" s="182"/>
      <c r="L120" s="182"/>
      <c r="M120" s="182"/>
      <c r="N120" s="182"/>
      <c r="O120" s="182"/>
      <c r="P120" s="182"/>
      <c r="Q120" s="182"/>
      <c r="R120" s="182"/>
      <c r="S120" s="182"/>
    </row>
    <row r="121" spans="1:19" x14ac:dyDescent="0.25">
      <c r="A121" s="191" t="s">
        <v>320</v>
      </c>
      <c r="B121" s="192">
        <v>0</v>
      </c>
      <c r="C121" s="182"/>
      <c r="D121" s="182"/>
      <c r="E121" s="182"/>
      <c r="F121" s="182"/>
      <c r="G121" s="182"/>
      <c r="H121" s="182"/>
      <c r="I121" s="182"/>
      <c r="J121" s="182"/>
      <c r="K121" s="182"/>
      <c r="L121" s="182"/>
      <c r="M121" s="182"/>
      <c r="N121" s="182"/>
      <c r="O121" s="182"/>
      <c r="P121" s="182"/>
      <c r="Q121" s="182"/>
      <c r="R121" s="182"/>
      <c r="S121" s="182"/>
    </row>
    <row r="122" spans="1:19" x14ac:dyDescent="0.25">
      <c r="A122" s="191" t="s">
        <v>321</v>
      </c>
      <c r="B122" s="192">
        <v>0</v>
      </c>
      <c r="C122" s="182"/>
      <c r="D122" s="182"/>
      <c r="E122" s="182"/>
      <c r="F122" s="182"/>
      <c r="G122" s="182"/>
      <c r="H122" s="182"/>
      <c r="I122" s="182"/>
      <c r="J122" s="182"/>
      <c r="K122" s="182"/>
      <c r="L122" s="182"/>
      <c r="M122" s="182"/>
      <c r="N122" s="182"/>
      <c r="O122" s="182"/>
      <c r="P122" s="182"/>
      <c r="Q122" s="182"/>
      <c r="R122" s="182"/>
      <c r="S122" s="182"/>
    </row>
    <row r="123" spans="1:19" x14ac:dyDescent="0.25">
      <c r="A123" s="191" t="s">
        <v>322</v>
      </c>
      <c r="B123" s="192">
        <v>-5</v>
      </c>
      <c r="C123" s="182"/>
      <c r="D123" s="182"/>
      <c r="E123" s="182"/>
      <c r="F123" s="182"/>
      <c r="G123" s="182"/>
      <c r="H123" s="182"/>
      <c r="I123" s="182"/>
      <c r="J123" s="182"/>
      <c r="K123" s="182"/>
      <c r="L123" s="182"/>
      <c r="M123" s="182"/>
      <c r="N123" s="182"/>
      <c r="O123" s="182"/>
      <c r="P123" s="182"/>
      <c r="Q123" s="182"/>
      <c r="R123" s="182"/>
      <c r="S123" s="182"/>
    </row>
    <row r="124" spans="1:19" x14ac:dyDescent="0.25">
      <c r="A124" s="191" t="s">
        <v>323</v>
      </c>
      <c r="B124" s="192">
        <v>12</v>
      </c>
      <c r="C124" s="182"/>
      <c r="D124" s="182"/>
      <c r="E124" s="182"/>
      <c r="F124" s="182"/>
      <c r="G124" s="182"/>
      <c r="H124" s="182"/>
      <c r="I124" s="182"/>
      <c r="J124" s="182"/>
      <c r="K124" s="182"/>
      <c r="L124" s="182"/>
      <c r="M124" s="182"/>
      <c r="N124" s="182"/>
      <c r="O124" s="182"/>
      <c r="P124" s="182"/>
      <c r="Q124" s="182"/>
      <c r="R124" s="182"/>
      <c r="S124" s="182"/>
    </row>
    <row r="125" spans="1:19" x14ac:dyDescent="0.25">
      <c r="A125" s="191" t="s">
        <v>324</v>
      </c>
      <c r="B125" s="192">
        <v>11</v>
      </c>
      <c r="C125" s="182"/>
      <c r="D125" s="182"/>
      <c r="E125" s="182"/>
      <c r="F125" s="182"/>
      <c r="G125" s="182"/>
      <c r="H125" s="182"/>
      <c r="I125" s="182"/>
      <c r="J125" s="182"/>
      <c r="K125" s="182"/>
      <c r="L125" s="182"/>
      <c r="M125" s="182"/>
      <c r="N125" s="182"/>
      <c r="O125" s="182"/>
      <c r="P125" s="182"/>
      <c r="Q125" s="182"/>
      <c r="R125" s="182"/>
      <c r="S125" s="182"/>
    </row>
    <row r="126" spans="1:19" x14ac:dyDescent="0.25">
      <c r="A126" s="191" t="s">
        <v>325</v>
      </c>
      <c r="B126" s="192">
        <v>-4</v>
      </c>
      <c r="C126" s="182"/>
      <c r="D126" s="182"/>
      <c r="E126" s="182"/>
      <c r="F126" s="182"/>
      <c r="G126" s="182"/>
      <c r="H126" s="182"/>
      <c r="I126" s="182"/>
      <c r="J126" s="182"/>
      <c r="K126" s="182"/>
      <c r="L126" s="182"/>
      <c r="M126" s="182"/>
      <c r="N126" s="182"/>
      <c r="O126" s="182"/>
      <c r="P126" s="182"/>
      <c r="Q126" s="182"/>
      <c r="R126" s="182"/>
      <c r="S126" s="182"/>
    </row>
    <row r="127" spans="1:19" x14ac:dyDescent="0.25">
      <c r="A127" s="191" t="s">
        <v>326</v>
      </c>
      <c r="B127" s="192">
        <v>2</v>
      </c>
      <c r="C127" s="182"/>
      <c r="D127" s="182"/>
      <c r="E127" s="182"/>
      <c r="F127" s="182"/>
      <c r="G127" s="182"/>
      <c r="H127" s="182"/>
      <c r="I127" s="182"/>
      <c r="J127" s="182"/>
      <c r="K127" s="182"/>
      <c r="L127" s="182"/>
      <c r="M127" s="182"/>
      <c r="N127" s="182"/>
      <c r="O127" s="182"/>
      <c r="P127" s="182"/>
      <c r="Q127" s="182"/>
      <c r="R127" s="182"/>
      <c r="S127" s="182"/>
    </row>
    <row r="128" spans="1:19" x14ac:dyDescent="0.25">
      <c r="A128" s="191" t="s">
        <v>327</v>
      </c>
      <c r="B128" s="192">
        <v>1</v>
      </c>
      <c r="C128" s="182"/>
      <c r="D128" s="182"/>
      <c r="E128" s="182"/>
      <c r="F128" s="182"/>
      <c r="G128" s="182"/>
      <c r="H128" s="182"/>
      <c r="I128" s="182"/>
      <c r="J128" s="182"/>
      <c r="K128" s="182"/>
      <c r="L128" s="182"/>
      <c r="M128" s="182"/>
      <c r="N128" s="182"/>
      <c r="O128" s="182"/>
      <c r="P128" s="182"/>
      <c r="Q128" s="182"/>
      <c r="R128" s="182"/>
      <c r="S128" s="182"/>
    </row>
    <row r="129" spans="1:19" x14ac:dyDescent="0.25">
      <c r="A129" s="191" t="s">
        <v>328</v>
      </c>
      <c r="B129" s="192">
        <v>-5</v>
      </c>
      <c r="C129" s="182"/>
      <c r="D129" s="182"/>
      <c r="E129" s="182"/>
      <c r="F129" s="182"/>
      <c r="G129" s="182"/>
      <c r="H129" s="182"/>
      <c r="I129" s="182"/>
      <c r="J129" s="182"/>
      <c r="K129" s="182"/>
      <c r="L129" s="182"/>
      <c r="M129" s="182"/>
      <c r="N129" s="182"/>
      <c r="O129" s="182"/>
      <c r="P129" s="182"/>
      <c r="Q129" s="182"/>
      <c r="R129" s="182"/>
      <c r="S129" s="182"/>
    </row>
    <row r="130" spans="1:19" x14ac:dyDescent="0.25">
      <c r="A130" s="191" t="s">
        <v>329</v>
      </c>
      <c r="B130" s="192">
        <v>9</v>
      </c>
      <c r="C130" s="182"/>
      <c r="D130" s="182"/>
      <c r="E130" s="182"/>
      <c r="F130" s="182"/>
      <c r="G130" s="182"/>
      <c r="H130" s="182"/>
      <c r="I130" s="182"/>
      <c r="J130" s="182"/>
      <c r="K130" s="182"/>
      <c r="L130" s="182"/>
      <c r="M130" s="182"/>
      <c r="N130" s="182"/>
      <c r="O130" s="182"/>
      <c r="P130" s="182"/>
      <c r="Q130" s="182"/>
      <c r="R130" s="182"/>
      <c r="S130" s="182"/>
    </row>
    <row r="131" spans="1:19" x14ac:dyDescent="0.25">
      <c r="A131" s="191" t="s">
        <v>330</v>
      </c>
      <c r="B131" s="192">
        <v>0</v>
      </c>
      <c r="C131" s="182"/>
      <c r="D131" s="182"/>
      <c r="E131" s="182"/>
      <c r="F131" s="182"/>
      <c r="G131" s="182"/>
      <c r="H131" s="182"/>
      <c r="I131" s="182"/>
      <c r="J131" s="182"/>
      <c r="K131" s="182"/>
      <c r="L131" s="182"/>
      <c r="M131" s="182"/>
      <c r="N131" s="182"/>
      <c r="O131" s="182"/>
      <c r="P131" s="182"/>
      <c r="Q131" s="182"/>
      <c r="R131" s="182"/>
      <c r="S131" s="182"/>
    </row>
    <row r="132" spans="1:19" x14ac:dyDescent="0.25">
      <c r="A132" s="191" t="s">
        <v>331</v>
      </c>
      <c r="B132" s="192">
        <v>2</v>
      </c>
      <c r="C132" s="182"/>
      <c r="D132" s="182"/>
      <c r="E132" s="182"/>
      <c r="F132" s="182"/>
      <c r="G132" s="182"/>
      <c r="H132" s="182"/>
      <c r="I132" s="182"/>
      <c r="J132" s="182"/>
      <c r="K132" s="182"/>
      <c r="L132" s="182"/>
      <c r="M132" s="182"/>
      <c r="N132" s="182"/>
      <c r="O132" s="182"/>
      <c r="P132" s="182"/>
      <c r="Q132" s="182"/>
      <c r="R132" s="182"/>
      <c r="S132" s="182"/>
    </row>
    <row r="133" spans="1:19" x14ac:dyDescent="0.25">
      <c r="A133" s="191" t="s">
        <v>332</v>
      </c>
      <c r="B133" s="192">
        <v>6</v>
      </c>
      <c r="C133" s="182"/>
      <c r="D133" s="182"/>
      <c r="E133" s="182"/>
      <c r="F133" s="182"/>
      <c r="G133" s="182"/>
      <c r="H133" s="182"/>
      <c r="I133" s="182"/>
      <c r="J133" s="182"/>
      <c r="K133" s="182"/>
      <c r="L133" s="182"/>
      <c r="M133" s="182"/>
      <c r="N133" s="182"/>
      <c r="O133" s="182"/>
      <c r="P133" s="182"/>
      <c r="Q133" s="182"/>
      <c r="R133" s="182"/>
      <c r="S133" s="182"/>
    </row>
    <row r="134" spans="1:19" x14ac:dyDescent="0.25">
      <c r="A134" s="191" t="s">
        <v>333</v>
      </c>
      <c r="B134" s="192">
        <v>5</v>
      </c>
      <c r="C134" s="182"/>
      <c r="D134" s="182"/>
      <c r="E134" s="182"/>
      <c r="F134" s="182"/>
      <c r="G134" s="182"/>
      <c r="H134" s="182"/>
      <c r="I134" s="182"/>
      <c r="J134" s="182"/>
      <c r="K134" s="182"/>
      <c r="L134" s="182"/>
      <c r="M134" s="182"/>
      <c r="N134" s="182"/>
      <c r="O134" s="182"/>
      <c r="P134" s="182"/>
      <c r="Q134" s="182"/>
      <c r="R134" s="182"/>
      <c r="S134" s="182"/>
    </row>
    <row r="135" spans="1:19" x14ac:dyDescent="0.25">
      <c r="A135" s="191" t="s">
        <v>334</v>
      </c>
      <c r="B135" s="192">
        <v>3</v>
      </c>
      <c r="C135" s="182"/>
      <c r="D135" s="182"/>
      <c r="E135" s="182"/>
      <c r="F135" s="182"/>
      <c r="G135" s="182"/>
      <c r="H135" s="182"/>
      <c r="I135" s="182"/>
      <c r="J135" s="182"/>
      <c r="K135" s="182"/>
      <c r="L135" s="182"/>
      <c r="M135" s="182"/>
      <c r="N135" s="182"/>
      <c r="O135" s="182"/>
      <c r="P135" s="182"/>
      <c r="Q135" s="182"/>
      <c r="R135" s="182"/>
      <c r="S135" s="182"/>
    </row>
    <row r="136" spans="1:19" x14ac:dyDescent="0.25">
      <c r="A136" s="191" t="s">
        <v>335</v>
      </c>
      <c r="B136" s="192">
        <v>6</v>
      </c>
      <c r="C136" s="182"/>
      <c r="D136" s="182"/>
      <c r="E136" s="182"/>
      <c r="F136" s="182"/>
      <c r="G136" s="182"/>
      <c r="H136" s="182"/>
      <c r="I136" s="182"/>
      <c r="J136" s="182"/>
      <c r="K136" s="182"/>
      <c r="L136" s="182"/>
      <c r="M136" s="182"/>
      <c r="N136" s="182"/>
      <c r="O136" s="182"/>
      <c r="P136" s="182"/>
      <c r="Q136" s="182"/>
      <c r="R136" s="182"/>
      <c r="S136" s="182"/>
    </row>
    <row r="137" spans="1:19" x14ac:dyDescent="0.25">
      <c r="A137" s="191" t="s">
        <v>336</v>
      </c>
      <c r="B137" s="192">
        <v>13</v>
      </c>
      <c r="C137" s="182"/>
      <c r="D137" s="182"/>
      <c r="E137" s="182"/>
      <c r="F137" s="182"/>
      <c r="G137" s="182"/>
      <c r="H137" s="182"/>
      <c r="I137" s="182"/>
      <c r="J137" s="182"/>
      <c r="K137" s="182"/>
      <c r="L137" s="182"/>
      <c r="M137" s="182"/>
      <c r="N137" s="182"/>
      <c r="O137" s="182"/>
      <c r="P137" s="182"/>
      <c r="Q137" s="182"/>
      <c r="R137" s="182"/>
      <c r="S137" s="182"/>
    </row>
    <row r="138" spans="1:19" x14ac:dyDescent="0.25">
      <c r="A138" s="191" t="s">
        <v>337</v>
      </c>
      <c r="B138" s="192">
        <v>14</v>
      </c>
      <c r="C138" s="182"/>
      <c r="D138" s="182"/>
      <c r="E138" s="182"/>
      <c r="F138" s="182"/>
      <c r="G138" s="182"/>
      <c r="H138" s="182"/>
      <c r="I138" s="182"/>
      <c r="J138" s="182"/>
      <c r="K138" s="182"/>
      <c r="L138" s="182"/>
      <c r="M138" s="182"/>
      <c r="N138" s="182"/>
      <c r="O138" s="182"/>
      <c r="P138" s="182"/>
      <c r="Q138" s="182"/>
      <c r="R138" s="182"/>
      <c r="S138" s="182"/>
    </row>
    <row r="139" spans="1:19" x14ac:dyDescent="0.25">
      <c r="A139" s="191" t="s">
        <v>338</v>
      </c>
      <c r="B139" s="192">
        <v>12</v>
      </c>
      <c r="C139" s="182"/>
      <c r="D139" s="182"/>
      <c r="E139" s="182"/>
      <c r="F139" s="182"/>
      <c r="G139" s="182"/>
      <c r="H139" s="182"/>
      <c r="I139" s="182"/>
      <c r="J139" s="182"/>
      <c r="K139" s="182"/>
      <c r="L139" s="182"/>
      <c r="M139" s="182"/>
      <c r="N139" s="182"/>
      <c r="O139" s="182"/>
      <c r="P139" s="182"/>
      <c r="Q139" s="182"/>
      <c r="R139" s="182"/>
      <c r="S139" s="182"/>
    </row>
    <row r="140" spans="1:19" x14ac:dyDescent="0.25">
      <c r="A140" s="191" t="s">
        <v>339</v>
      </c>
      <c r="B140" s="192">
        <v>1</v>
      </c>
      <c r="C140" s="182"/>
      <c r="D140" s="182"/>
      <c r="E140" s="182"/>
      <c r="F140" s="182"/>
      <c r="G140" s="182"/>
      <c r="H140" s="182"/>
      <c r="I140" s="182"/>
      <c r="J140" s="182"/>
      <c r="K140" s="182"/>
      <c r="L140" s="182"/>
      <c r="M140" s="182"/>
      <c r="N140" s="182"/>
      <c r="O140" s="182"/>
      <c r="P140" s="182"/>
      <c r="Q140" s="182"/>
      <c r="R140" s="182"/>
      <c r="S140" s="182"/>
    </row>
    <row r="141" spans="1:19" x14ac:dyDescent="0.25">
      <c r="A141" s="191" t="s">
        <v>340</v>
      </c>
      <c r="B141" s="192">
        <v>3</v>
      </c>
      <c r="C141" s="182"/>
      <c r="D141" s="182"/>
      <c r="E141" s="182"/>
      <c r="F141" s="182"/>
      <c r="G141" s="182"/>
      <c r="H141" s="182"/>
      <c r="I141" s="182"/>
      <c r="J141" s="182"/>
      <c r="K141" s="182"/>
      <c r="L141" s="182"/>
      <c r="M141" s="182"/>
      <c r="N141" s="182"/>
      <c r="O141" s="182"/>
      <c r="P141" s="182"/>
      <c r="Q141" s="182"/>
      <c r="R141" s="182"/>
      <c r="S141" s="182"/>
    </row>
    <row r="142" spans="1:19" x14ac:dyDescent="0.25">
      <c r="A142" s="191" t="s">
        <v>341</v>
      </c>
      <c r="B142" s="192">
        <v>7</v>
      </c>
      <c r="C142" s="182"/>
      <c r="D142" s="182"/>
      <c r="E142" s="182"/>
      <c r="F142" s="182"/>
      <c r="G142" s="182"/>
      <c r="H142" s="182"/>
      <c r="I142" s="182"/>
      <c r="J142" s="182"/>
      <c r="K142" s="182"/>
      <c r="L142" s="182"/>
      <c r="M142" s="182"/>
      <c r="N142" s="182"/>
      <c r="O142" s="182"/>
      <c r="P142" s="182"/>
      <c r="Q142" s="182"/>
      <c r="R142" s="182"/>
      <c r="S142" s="182"/>
    </row>
    <row r="143" spans="1:19" x14ac:dyDescent="0.25">
      <c r="A143" s="191" t="s">
        <v>342</v>
      </c>
      <c r="B143" s="192">
        <v>2</v>
      </c>
      <c r="C143" s="182"/>
      <c r="D143" s="182"/>
      <c r="E143" s="182"/>
      <c r="F143" s="182"/>
      <c r="G143" s="182"/>
      <c r="H143" s="182"/>
      <c r="I143" s="182"/>
      <c r="J143" s="182"/>
      <c r="K143" s="182"/>
      <c r="L143" s="182"/>
      <c r="M143" s="182"/>
      <c r="N143" s="182"/>
      <c r="O143" s="182"/>
      <c r="P143" s="182"/>
      <c r="Q143" s="182"/>
      <c r="R143" s="182"/>
      <c r="S143" s="182"/>
    </row>
    <row r="144" spans="1:19" x14ac:dyDescent="0.25">
      <c r="A144" s="191" t="s">
        <v>343</v>
      </c>
      <c r="B144" s="192">
        <v>2</v>
      </c>
      <c r="C144" s="182"/>
      <c r="D144" s="182"/>
      <c r="E144" s="182"/>
      <c r="F144" s="182"/>
      <c r="G144" s="182"/>
      <c r="H144" s="182"/>
      <c r="I144" s="182"/>
      <c r="J144" s="182"/>
      <c r="K144" s="182"/>
      <c r="L144" s="182"/>
      <c r="M144" s="182"/>
      <c r="N144" s="182"/>
      <c r="O144" s="182"/>
      <c r="P144" s="182"/>
      <c r="Q144" s="182"/>
      <c r="R144" s="182"/>
      <c r="S144" s="182"/>
    </row>
    <row r="145" spans="1:19" x14ac:dyDescent="0.25">
      <c r="A145" s="191" t="s">
        <v>344</v>
      </c>
      <c r="B145" s="192">
        <v>2</v>
      </c>
      <c r="C145" s="182"/>
      <c r="D145" s="182"/>
      <c r="E145" s="182"/>
      <c r="F145" s="182"/>
      <c r="G145" s="182"/>
      <c r="H145" s="182"/>
      <c r="I145" s="182"/>
      <c r="J145" s="182"/>
      <c r="K145" s="182"/>
      <c r="L145" s="182"/>
      <c r="M145" s="182"/>
      <c r="N145" s="182"/>
      <c r="O145" s="182"/>
      <c r="P145" s="182"/>
      <c r="Q145" s="182"/>
      <c r="R145" s="182"/>
      <c r="S145" s="182"/>
    </row>
    <row r="146" spans="1:19" x14ac:dyDescent="0.25">
      <c r="A146" s="191" t="s">
        <v>345</v>
      </c>
      <c r="B146" s="192">
        <v>0</v>
      </c>
      <c r="C146" s="182"/>
      <c r="D146" s="182"/>
      <c r="E146" s="182"/>
      <c r="F146" s="182"/>
      <c r="G146" s="182"/>
      <c r="H146" s="182"/>
      <c r="I146" s="182"/>
      <c r="J146" s="182"/>
      <c r="K146" s="182"/>
      <c r="L146" s="182"/>
      <c r="M146" s="182"/>
      <c r="N146" s="182"/>
      <c r="O146" s="182"/>
      <c r="P146" s="182"/>
      <c r="Q146" s="182"/>
      <c r="R146" s="182"/>
      <c r="S146" s="182"/>
    </row>
    <row r="147" spans="1:19" x14ac:dyDescent="0.25">
      <c r="A147" s="191" t="s">
        <v>346</v>
      </c>
      <c r="B147" s="192">
        <v>2</v>
      </c>
      <c r="C147" s="182"/>
      <c r="D147" s="182"/>
      <c r="E147" s="182"/>
      <c r="F147" s="182"/>
      <c r="G147" s="182"/>
      <c r="H147" s="182"/>
      <c r="I147" s="182"/>
      <c r="J147" s="182"/>
      <c r="K147" s="182"/>
      <c r="L147" s="182"/>
      <c r="M147" s="182"/>
      <c r="N147" s="182"/>
      <c r="O147" s="182"/>
      <c r="P147" s="182"/>
      <c r="Q147" s="182"/>
      <c r="R147" s="182"/>
      <c r="S147" s="182"/>
    </row>
    <row r="148" spans="1:19" x14ac:dyDescent="0.25">
      <c r="A148" s="191" t="s">
        <v>347</v>
      </c>
      <c r="B148" s="192">
        <v>1</v>
      </c>
      <c r="C148" s="182"/>
      <c r="D148" s="182"/>
      <c r="E148" s="182"/>
      <c r="F148" s="182"/>
      <c r="G148" s="182"/>
      <c r="H148" s="182"/>
      <c r="I148" s="182"/>
      <c r="J148" s="182"/>
      <c r="K148" s="182"/>
      <c r="L148" s="182"/>
      <c r="M148" s="182"/>
      <c r="N148" s="182"/>
      <c r="O148" s="182"/>
      <c r="P148" s="182"/>
      <c r="Q148" s="182"/>
      <c r="R148" s="182"/>
      <c r="S148" s="182"/>
    </row>
    <row r="149" spans="1:19" x14ac:dyDescent="0.25">
      <c r="A149" s="191" t="s">
        <v>348</v>
      </c>
      <c r="B149" s="192">
        <v>2</v>
      </c>
      <c r="C149" s="182"/>
      <c r="D149" s="182"/>
      <c r="E149" s="182"/>
      <c r="F149" s="182"/>
      <c r="G149" s="182"/>
      <c r="H149" s="182"/>
      <c r="I149" s="182"/>
      <c r="J149" s="182"/>
      <c r="K149" s="182"/>
      <c r="L149" s="182"/>
      <c r="M149" s="182"/>
      <c r="N149" s="182"/>
      <c r="O149" s="182"/>
      <c r="P149" s="182"/>
      <c r="Q149" s="182"/>
      <c r="R149" s="182"/>
      <c r="S149" s="182"/>
    </row>
    <row r="150" spans="1:19" x14ac:dyDescent="0.25">
      <c r="A150" s="191" t="s">
        <v>349</v>
      </c>
      <c r="B150" s="192">
        <v>1</v>
      </c>
      <c r="C150" s="182"/>
      <c r="D150" s="182"/>
      <c r="E150" s="182"/>
      <c r="F150" s="182"/>
      <c r="G150" s="182"/>
      <c r="H150" s="182"/>
      <c r="I150" s="182"/>
      <c r="J150" s="182"/>
      <c r="K150" s="182"/>
      <c r="L150" s="182"/>
      <c r="M150" s="182"/>
      <c r="N150" s="182"/>
      <c r="O150" s="182"/>
      <c r="P150" s="182"/>
      <c r="Q150" s="182"/>
      <c r="R150" s="182"/>
      <c r="S150" s="182"/>
    </row>
    <row r="151" spans="1:19" x14ac:dyDescent="0.25">
      <c r="A151" s="191" t="s">
        <v>350</v>
      </c>
      <c r="B151" s="192">
        <v>8</v>
      </c>
      <c r="C151" s="182"/>
      <c r="D151" s="182"/>
      <c r="E151" s="182"/>
      <c r="F151" s="182"/>
      <c r="G151" s="182"/>
      <c r="H151" s="182"/>
      <c r="I151" s="182"/>
      <c r="J151" s="182"/>
      <c r="K151" s="182"/>
      <c r="L151" s="182"/>
      <c r="M151" s="182"/>
      <c r="N151" s="182"/>
      <c r="O151" s="182"/>
      <c r="P151" s="182"/>
      <c r="Q151" s="182"/>
      <c r="R151" s="182"/>
      <c r="S151" s="182"/>
    </row>
    <row r="152" spans="1:19" x14ac:dyDescent="0.25">
      <c r="A152" s="191" t="s">
        <v>351</v>
      </c>
      <c r="B152" s="192">
        <v>1</v>
      </c>
      <c r="C152" s="182"/>
      <c r="D152" s="182"/>
      <c r="E152" s="182"/>
      <c r="F152" s="182"/>
      <c r="G152" s="182"/>
      <c r="H152" s="182"/>
      <c r="I152" s="182"/>
      <c r="J152" s="182"/>
      <c r="K152" s="182"/>
      <c r="L152" s="182"/>
      <c r="M152" s="182"/>
      <c r="N152" s="182"/>
      <c r="O152" s="182"/>
      <c r="P152" s="182"/>
      <c r="Q152" s="182"/>
      <c r="R152" s="182"/>
      <c r="S152" s="182"/>
    </row>
    <row r="153" spans="1:19" x14ac:dyDescent="0.25">
      <c r="A153" s="191" t="s">
        <v>352</v>
      </c>
      <c r="B153" s="192">
        <v>3</v>
      </c>
      <c r="C153" s="182"/>
      <c r="D153" s="182"/>
      <c r="E153" s="182"/>
      <c r="F153" s="182"/>
      <c r="G153" s="182"/>
      <c r="H153" s="182"/>
      <c r="I153" s="182"/>
      <c r="J153" s="182"/>
      <c r="K153" s="182"/>
      <c r="L153" s="182"/>
      <c r="M153" s="182"/>
      <c r="N153" s="182"/>
      <c r="O153" s="182"/>
      <c r="P153" s="182"/>
      <c r="Q153" s="182"/>
      <c r="R153" s="182"/>
      <c r="S153" s="182"/>
    </row>
    <row r="154" spans="1:19" x14ac:dyDescent="0.25">
      <c r="A154" s="191" t="s">
        <v>353</v>
      </c>
      <c r="B154" s="192">
        <v>8</v>
      </c>
      <c r="C154" s="182"/>
      <c r="D154" s="182"/>
      <c r="E154" s="182"/>
      <c r="F154" s="182"/>
      <c r="G154" s="182"/>
      <c r="H154" s="182"/>
      <c r="I154" s="182"/>
      <c r="J154" s="182"/>
      <c r="K154" s="182"/>
      <c r="L154" s="182"/>
      <c r="M154" s="182"/>
      <c r="N154" s="182"/>
      <c r="O154" s="182"/>
      <c r="P154" s="182"/>
      <c r="Q154" s="182"/>
      <c r="R154" s="182"/>
      <c r="S154" s="182"/>
    </row>
    <row r="155" spans="1:19" x14ac:dyDescent="0.25">
      <c r="A155" s="191" t="s">
        <v>354</v>
      </c>
      <c r="B155" s="192">
        <v>2</v>
      </c>
      <c r="C155" s="182"/>
      <c r="D155" s="182"/>
      <c r="E155" s="182"/>
      <c r="F155" s="182"/>
      <c r="G155" s="182"/>
      <c r="H155" s="182"/>
      <c r="I155" s="182"/>
      <c r="J155" s="182"/>
      <c r="K155" s="182"/>
      <c r="L155" s="182"/>
      <c r="M155" s="182"/>
      <c r="N155" s="182"/>
      <c r="O155" s="182"/>
      <c r="P155" s="182"/>
      <c r="Q155" s="182"/>
      <c r="R155" s="182"/>
      <c r="S155" s="182"/>
    </row>
    <row r="156" spans="1:19" x14ac:dyDescent="0.25">
      <c r="A156" s="191" t="s">
        <v>355</v>
      </c>
      <c r="B156" s="192">
        <v>5</v>
      </c>
      <c r="C156" s="182"/>
      <c r="D156" s="182"/>
      <c r="E156" s="182"/>
      <c r="F156" s="182"/>
      <c r="G156" s="182"/>
      <c r="H156" s="182"/>
      <c r="I156" s="182"/>
      <c r="J156" s="182"/>
      <c r="K156" s="182"/>
      <c r="L156" s="182"/>
      <c r="M156" s="182"/>
      <c r="N156" s="182"/>
      <c r="O156" s="182"/>
      <c r="P156" s="182"/>
      <c r="Q156" s="182"/>
      <c r="R156" s="182"/>
      <c r="S156" s="182"/>
    </row>
    <row r="157" spans="1:19" x14ac:dyDescent="0.25">
      <c r="A157" s="191" t="s">
        <v>356</v>
      </c>
      <c r="B157" s="192">
        <v>0</v>
      </c>
      <c r="C157" s="182"/>
      <c r="D157" s="182"/>
      <c r="E157" s="182"/>
      <c r="F157" s="182"/>
      <c r="G157" s="182"/>
      <c r="H157" s="182"/>
      <c r="I157" s="182"/>
      <c r="J157" s="182"/>
      <c r="K157" s="182"/>
      <c r="L157" s="182"/>
      <c r="M157" s="182"/>
      <c r="N157" s="182"/>
      <c r="O157" s="182"/>
      <c r="P157" s="182"/>
      <c r="Q157" s="182"/>
      <c r="R157" s="182"/>
      <c r="S157" s="182"/>
    </row>
    <row r="158" spans="1:19" x14ac:dyDescent="0.25">
      <c r="A158" s="191" t="s">
        <v>357</v>
      </c>
      <c r="B158" s="192">
        <v>1</v>
      </c>
      <c r="C158" s="182"/>
      <c r="D158" s="182"/>
      <c r="E158" s="182"/>
      <c r="F158" s="182"/>
      <c r="G158" s="182"/>
      <c r="H158" s="182"/>
      <c r="I158" s="182"/>
      <c r="J158" s="182"/>
      <c r="K158" s="182"/>
      <c r="L158" s="182"/>
      <c r="M158" s="182"/>
      <c r="N158" s="182"/>
      <c r="O158" s="182"/>
      <c r="P158" s="182"/>
      <c r="Q158" s="182"/>
      <c r="R158" s="182"/>
      <c r="S158" s="182"/>
    </row>
    <row r="159" spans="1:19" x14ac:dyDescent="0.25">
      <c r="A159" s="191" t="s">
        <v>358</v>
      </c>
      <c r="B159" s="192">
        <v>0</v>
      </c>
      <c r="C159" s="182"/>
      <c r="D159" s="182"/>
      <c r="E159" s="182"/>
      <c r="F159" s="182"/>
      <c r="G159" s="182"/>
      <c r="H159" s="182"/>
      <c r="I159" s="182"/>
      <c r="J159" s="182"/>
      <c r="K159" s="182"/>
      <c r="L159" s="182"/>
      <c r="M159" s="182"/>
      <c r="N159" s="182"/>
      <c r="O159" s="182"/>
      <c r="P159" s="182"/>
      <c r="Q159" s="182"/>
      <c r="R159" s="182"/>
      <c r="S159" s="182"/>
    </row>
    <row r="160" spans="1:19" x14ac:dyDescent="0.25">
      <c r="A160" s="191" t="s">
        <v>359</v>
      </c>
      <c r="B160" s="192">
        <v>-4</v>
      </c>
      <c r="C160" s="182"/>
      <c r="D160" s="182"/>
      <c r="E160" s="182"/>
      <c r="F160" s="182"/>
      <c r="G160" s="182"/>
      <c r="H160" s="182"/>
      <c r="I160" s="182"/>
      <c r="J160" s="182"/>
      <c r="K160" s="182"/>
      <c r="L160" s="182"/>
      <c r="M160" s="182"/>
      <c r="N160" s="182"/>
      <c r="O160" s="182"/>
      <c r="P160" s="182"/>
      <c r="Q160" s="182"/>
      <c r="R160" s="182"/>
      <c r="S160" s="182"/>
    </row>
    <row r="161" spans="1:19" x14ac:dyDescent="0.25">
      <c r="A161" s="191" t="s">
        <v>360</v>
      </c>
      <c r="B161" s="192">
        <v>4</v>
      </c>
      <c r="C161" s="182"/>
      <c r="D161" s="182"/>
      <c r="E161" s="182"/>
      <c r="F161" s="182"/>
      <c r="G161" s="182"/>
      <c r="H161" s="182"/>
      <c r="I161" s="182"/>
      <c r="J161" s="182"/>
      <c r="K161" s="182"/>
      <c r="L161" s="182"/>
      <c r="M161" s="182"/>
      <c r="N161" s="182"/>
      <c r="O161" s="182"/>
      <c r="P161" s="182"/>
      <c r="Q161" s="182"/>
      <c r="R161" s="182"/>
      <c r="S161" s="182"/>
    </row>
    <row r="162" spans="1:19" x14ac:dyDescent="0.25">
      <c r="A162" s="191" t="s">
        <v>361</v>
      </c>
      <c r="B162" s="192">
        <v>0</v>
      </c>
      <c r="C162" s="182"/>
      <c r="D162" s="182"/>
      <c r="E162" s="182"/>
      <c r="F162" s="182"/>
      <c r="G162" s="182"/>
      <c r="H162" s="182"/>
      <c r="I162" s="182"/>
      <c r="J162" s="182"/>
      <c r="K162" s="182"/>
      <c r="L162" s="182"/>
      <c r="M162" s="182"/>
      <c r="N162" s="182"/>
      <c r="O162" s="182"/>
      <c r="P162" s="182"/>
      <c r="Q162" s="182"/>
      <c r="R162" s="182"/>
      <c r="S162" s="182"/>
    </row>
    <row r="163" spans="1:19" x14ac:dyDescent="0.25">
      <c r="A163" s="191" t="s">
        <v>362</v>
      </c>
      <c r="B163" s="192">
        <v>3</v>
      </c>
      <c r="C163" s="182"/>
      <c r="D163" s="182"/>
      <c r="E163" s="182"/>
      <c r="F163" s="182"/>
      <c r="G163" s="182"/>
      <c r="H163" s="182"/>
      <c r="I163" s="182"/>
      <c r="J163" s="182"/>
      <c r="K163" s="182"/>
      <c r="L163" s="182"/>
      <c r="M163" s="182"/>
      <c r="N163" s="182"/>
      <c r="O163" s="182"/>
      <c r="P163" s="182"/>
      <c r="Q163" s="182"/>
      <c r="R163" s="182"/>
      <c r="S163" s="182"/>
    </row>
    <row r="164" spans="1:19" x14ac:dyDescent="0.25">
      <c r="A164" s="191" t="s">
        <v>363</v>
      </c>
      <c r="B164" s="192">
        <v>-6</v>
      </c>
      <c r="C164" s="182"/>
      <c r="D164" s="182"/>
      <c r="E164" s="182"/>
      <c r="F164" s="182"/>
      <c r="G164" s="182"/>
      <c r="H164" s="182"/>
      <c r="I164" s="182"/>
      <c r="J164" s="182"/>
      <c r="K164" s="182"/>
      <c r="L164" s="182"/>
      <c r="M164" s="182"/>
      <c r="N164" s="182"/>
      <c r="O164" s="182"/>
      <c r="P164" s="182"/>
      <c r="Q164" s="182"/>
      <c r="R164" s="182"/>
      <c r="S164" s="182"/>
    </row>
    <row r="165" spans="1:19" x14ac:dyDescent="0.25">
      <c r="A165" s="191" t="s">
        <v>364</v>
      </c>
      <c r="B165" s="192">
        <v>-8</v>
      </c>
      <c r="C165" s="182"/>
      <c r="D165" s="182"/>
      <c r="E165" s="182"/>
      <c r="F165" s="182"/>
      <c r="G165" s="182"/>
      <c r="H165" s="182"/>
      <c r="I165" s="182"/>
      <c r="J165" s="182"/>
      <c r="K165" s="182"/>
      <c r="L165" s="182"/>
      <c r="M165" s="182"/>
      <c r="N165" s="182"/>
      <c r="O165" s="182"/>
      <c r="P165" s="182"/>
      <c r="Q165" s="182"/>
      <c r="R165" s="182"/>
      <c r="S165" s="182"/>
    </row>
    <row r="166" spans="1:19" x14ac:dyDescent="0.25">
      <c r="A166" s="191" t="s">
        <v>365</v>
      </c>
      <c r="B166" s="192">
        <v>-7</v>
      </c>
      <c r="C166" s="182"/>
      <c r="D166" s="182"/>
      <c r="E166" s="182"/>
      <c r="F166" s="182"/>
      <c r="G166" s="182"/>
      <c r="H166" s="182"/>
      <c r="I166" s="182"/>
      <c r="J166" s="182"/>
      <c r="K166" s="182"/>
      <c r="L166" s="182"/>
      <c r="M166" s="182"/>
      <c r="N166" s="182"/>
      <c r="O166" s="182"/>
      <c r="P166" s="182"/>
      <c r="Q166" s="182"/>
      <c r="R166" s="182"/>
      <c r="S166" s="182"/>
    </row>
    <row r="167" spans="1:19" x14ac:dyDescent="0.25">
      <c r="A167" s="191" t="s">
        <v>366</v>
      </c>
      <c r="B167" s="192">
        <v>10</v>
      </c>
      <c r="C167" s="182"/>
      <c r="D167" s="182"/>
      <c r="E167" s="182"/>
      <c r="F167" s="182"/>
      <c r="G167" s="182"/>
      <c r="H167" s="182"/>
      <c r="I167" s="182"/>
      <c r="J167" s="182"/>
      <c r="K167" s="182"/>
      <c r="L167" s="182"/>
      <c r="M167" s="182"/>
      <c r="N167" s="182"/>
      <c r="O167" s="182"/>
      <c r="P167" s="182"/>
      <c r="Q167" s="182"/>
      <c r="R167" s="182"/>
      <c r="S167" s="182"/>
    </row>
    <row r="168" spans="1:19" x14ac:dyDescent="0.25">
      <c r="A168" s="191" t="s">
        <v>367</v>
      </c>
      <c r="B168" s="192">
        <v>11</v>
      </c>
      <c r="C168" s="182"/>
      <c r="D168" s="182"/>
      <c r="E168" s="182"/>
      <c r="F168" s="182"/>
      <c r="G168" s="182"/>
      <c r="H168" s="182"/>
      <c r="I168" s="182"/>
      <c r="J168" s="182"/>
      <c r="K168" s="182"/>
      <c r="L168" s="182"/>
      <c r="M168" s="182"/>
      <c r="N168" s="182"/>
      <c r="O168" s="182"/>
      <c r="P168" s="182"/>
      <c r="Q168" s="182"/>
      <c r="R168" s="182"/>
      <c r="S168" s="182"/>
    </row>
    <row r="169" spans="1:19" x14ac:dyDescent="0.25">
      <c r="A169" s="191" t="s">
        <v>368</v>
      </c>
      <c r="B169" s="192">
        <v>2</v>
      </c>
      <c r="C169" s="182"/>
      <c r="D169" s="182"/>
      <c r="E169" s="182"/>
      <c r="F169" s="182"/>
      <c r="G169" s="182"/>
      <c r="H169" s="182"/>
      <c r="I169" s="182"/>
      <c r="J169" s="182"/>
      <c r="K169" s="182"/>
      <c r="L169" s="182"/>
      <c r="M169" s="182"/>
      <c r="N169" s="182"/>
      <c r="O169" s="182"/>
      <c r="P169" s="182"/>
      <c r="Q169" s="182"/>
      <c r="R169" s="182"/>
      <c r="S169" s="182"/>
    </row>
    <row r="170" spans="1:19" x14ac:dyDescent="0.25">
      <c r="A170" s="191" t="s">
        <v>369</v>
      </c>
      <c r="B170" s="192">
        <v>1</v>
      </c>
      <c r="C170" s="182"/>
      <c r="D170" s="182"/>
      <c r="E170" s="182"/>
      <c r="F170" s="182"/>
      <c r="G170" s="182"/>
      <c r="H170" s="182"/>
      <c r="I170" s="182"/>
      <c r="J170" s="182"/>
      <c r="K170" s="182"/>
      <c r="L170" s="182"/>
      <c r="M170" s="182"/>
      <c r="N170" s="182"/>
      <c r="O170" s="182"/>
      <c r="P170" s="182"/>
      <c r="Q170" s="182"/>
      <c r="R170" s="182"/>
      <c r="S170" s="182"/>
    </row>
    <row r="171" spans="1:19" x14ac:dyDescent="0.25">
      <c r="A171" s="191" t="s">
        <v>370</v>
      </c>
      <c r="B171" s="192">
        <v>7</v>
      </c>
      <c r="C171" s="182"/>
      <c r="D171" s="182"/>
      <c r="E171" s="182"/>
      <c r="F171" s="182"/>
      <c r="G171" s="182"/>
      <c r="H171" s="182"/>
      <c r="I171" s="182"/>
      <c r="J171" s="182"/>
      <c r="K171" s="182"/>
      <c r="L171" s="182"/>
      <c r="M171" s="182"/>
      <c r="N171" s="182"/>
      <c r="O171" s="182"/>
      <c r="P171" s="182"/>
      <c r="Q171" s="182"/>
      <c r="R171" s="182"/>
      <c r="S171" s="182"/>
    </row>
    <row r="172" spans="1:19" x14ac:dyDescent="0.25">
      <c r="A172" s="191" t="s">
        <v>371</v>
      </c>
      <c r="B172" s="192">
        <v>8</v>
      </c>
      <c r="C172" s="182"/>
      <c r="D172" s="182"/>
      <c r="E172" s="182"/>
      <c r="F172" s="182"/>
      <c r="G172" s="182"/>
      <c r="H172" s="182"/>
      <c r="I172" s="182"/>
      <c r="J172" s="182"/>
      <c r="K172" s="182"/>
      <c r="L172" s="182"/>
      <c r="M172" s="182"/>
      <c r="N172" s="182"/>
      <c r="O172" s="182"/>
      <c r="P172" s="182"/>
      <c r="Q172" s="182"/>
      <c r="R172" s="182"/>
      <c r="S172" s="182"/>
    </row>
    <row r="173" spans="1:19" x14ac:dyDescent="0.25">
      <c r="A173" s="191" t="s">
        <v>372</v>
      </c>
      <c r="B173" s="192">
        <v>1</v>
      </c>
      <c r="C173" s="182"/>
      <c r="D173" s="182"/>
      <c r="E173" s="182"/>
      <c r="F173" s="182"/>
      <c r="G173" s="182"/>
      <c r="H173" s="182"/>
      <c r="I173" s="182"/>
      <c r="J173" s="182"/>
      <c r="K173" s="182"/>
      <c r="L173" s="182"/>
      <c r="M173" s="182"/>
      <c r="N173" s="182"/>
      <c r="O173" s="182"/>
      <c r="P173" s="182"/>
      <c r="Q173" s="182"/>
      <c r="R173" s="182"/>
      <c r="S173" s="182"/>
    </row>
    <row r="174" spans="1:19" x14ac:dyDescent="0.25">
      <c r="A174" s="191" t="s">
        <v>373</v>
      </c>
      <c r="B174" s="192">
        <v>2</v>
      </c>
      <c r="C174" s="182"/>
      <c r="D174" s="182"/>
      <c r="E174" s="182"/>
      <c r="F174" s="182"/>
      <c r="G174" s="182"/>
      <c r="H174" s="182"/>
      <c r="I174" s="182"/>
      <c r="J174" s="182"/>
      <c r="K174" s="182"/>
      <c r="L174" s="182"/>
      <c r="M174" s="182"/>
      <c r="N174" s="182"/>
      <c r="O174" s="182"/>
      <c r="P174" s="182"/>
      <c r="Q174" s="182"/>
      <c r="R174" s="182"/>
      <c r="S174" s="182"/>
    </row>
    <row r="175" spans="1:19" x14ac:dyDescent="0.25">
      <c r="A175" s="191" t="s">
        <v>374</v>
      </c>
      <c r="B175" s="192">
        <v>6.5</v>
      </c>
      <c r="C175" s="182"/>
      <c r="D175" s="182"/>
      <c r="E175" s="182"/>
      <c r="F175" s="182"/>
      <c r="G175" s="182"/>
      <c r="H175" s="182"/>
      <c r="I175" s="182"/>
      <c r="J175" s="182"/>
      <c r="K175" s="182"/>
      <c r="L175" s="182"/>
      <c r="M175" s="182"/>
      <c r="N175" s="182"/>
      <c r="O175" s="182"/>
      <c r="P175" s="182"/>
      <c r="Q175" s="182"/>
      <c r="R175" s="182"/>
      <c r="S175" s="182"/>
    </row>
    <row r="176" spans="1:19" x14ac:dyDescent="0.25">
      <c r="A176" s="191" t="s">
        <v>375</v>
      </c>
      <c r="B176" s="192">
        <v>1</v>
      </c>
      <c r="C176" s="182"/>
      <c r="D176" s="182"/>
      <c r="E176" s="182"/>
      <c r="F176" s="182"/>
      <c r="G176" s="182"/>
      <c r="H176" s="182"/>
      <c r="I176" s="182"/>
      <c r="J176" s="182"/>
      <c r="K176" s="182"/>
      <c r="L176" s="182"/>
      <c r="M176" s="182"/>
      <c r="N176" s="182"/>
      <c r="O176" s="182"/>
      <c r="P176" s="182"/>
      <c r="Q176" s="182"/>
      <c r="R176" s="182"/>
      <c r="S176" s="182"/>
    </row>
    <row r="177" spans="1:19" x14ac:dyDescent="0.25">
      <c r="A177" s="191" t="s">
        <v>376</v>
      </c>
      <c r="B177" s="192">
        <v>12</v>
      </c>
      <c r="C177" s="182"/>
      <c r="D177" s="182"/>
      <c r="E177" s="182"/>
      <c r="F177" s="182"/>
      <c r="G177" s="182"/>
      <c r="H177" s="182"/>
      <c r="I177" s="182"/>
      <c r="J177" s="182"/>
      <c r="K177" s="182"/>
      <c r="L177" s="182"/>
      <c r="M177" s="182"/>
      <c r="N177" s="182"/>
      <c r="O177" s="182"/>
      <c r="P177" s="182"/>
      <c r="Q177" s="182"/>
      <c r="R177" s="182"/>
      <c r="S177" s="182"/>
    </row>
    <row r="178" spans="1:19" x14ac:dyDescent="0.25">
      <c r="A178" s="191" t="s">
        <v>377</v>
      </c>
      <c r="B178" s="192">
        <v>5.75</v>
      </c>
      <c r="C178" s="182"/>
      <c r="D178" s="182"/>
      <c r="E178" s="182"/>
      <c r="F178" s="182"/>
      <c r="G178" s="182"/>
      <c r="H178" s="182"/>
      <c r="I178" s="182"/>
      <c r="J178" s="182"/>
      <c r="K178" s="182"/>
      <c r="L178" s="182"/>
      <c r="M178" s="182"/>
      <c r="N178" s="182"/>
      <c r="O178" s="182"/>
      <c r="P178" s="182"/>
      <c r="Q178" s="182"/>
      <c r="R178" s="182"/>
      <c r="S178" s="182"/>
    </row>
    <row r="179" spans="1:19" x14ac:dyDescent="0.25">
      <c r="A179" s="191" t="s">
        <v>378</v>
      </c>
      <c r="B179" s="192">
        <v>11</v>
      </c>
      <c r="C179" s="182"/>
      <c r="D179" s="182"/>
      <c r="E179" s="182"/>
      <c r="F179" s="182"/>
      <c r="G179" s="182"/>
      <c r="H179" s="182"/>
      <c r="I179" s="182"/>
      <c r="J179" s="182"/>
      <c r="K179" s="182"/>
      <c r="L179" s="182"/>
      <c r="M179" s="182"/>
      <c r="N179" s="182"/>
      <c r="O179" s="182"/>
      <c r="P179" s="182"/>
      <c r="Q179" s="182"/>
      <c r="R179" s="182"/>
      <c r="S179" s="182"/>
    </row>
    <row r="180" spans="1:19" x14ac:dyDescent="0.25">
      <c r="A180" s="191" t="s">
        <v>379</v>
      </c>
      <c r="B180" s="192">
        <v>-6</v>
      </c>
      <c r="C180" s="182"/>
      <c r="D180" s="182"/>
      <c r="E180" s="182"/>
      <c r="F180" s="182"/>
      <c r="G180" s="182"/>
      <c r="H180" s="182"/>
      <c r="I180" s="182"/>
      <c r="J180" s="182"/>
      <c r="K180" s="182"/>
      <c r="L180" s="182"/>
      <c r="M180" s="182"/>
      <c r="N180" s="182"/>
      <c r="O180" s="182"/>
      <c r="P180" s="182"/>
      <c r="Q180" s="182"/>
      <c r="R180" s="182"/>
      <c r="S180" s="182"/>
    </row>
    <row r="181" spans="1:19" x14ac:dyDescent="0.25">
      <c r="A181" s="191" t="s">
        <v>380</v>
      </c>
      <c r="B181" s="192">
        <v>1</v>
      </c>
      <c r="C181" s="182"/>
      <c r="D181" s="182"/>
      <c r="E181" s="182"/>
      <c r="F181" s="182"/>
      <c r="G181" s="182"/>
      <c r="H181" s="182"/>
      <c r="I181" s="182"/>
      <c r="J181" s="182"/>
      <c r="K181" s="182"/>
      <c r="L181" s="182"/>
      <c r="M181" s="182"/>
      <c r="N181" s="182"/>
      <c r="O181" s="182"/>
      <c r="P181" s="182"/>
      <c r="Q181" s="182"/>
      <c r="R181" s="182"/>
      <c r="S181" s="182"/>
    </row>
    <row r="182" spans="1:19" x14ac:dyDescent="0.25">
      <c r="A182" s="191" t="s">
        <v>381</v>
      </c>
      <c r="B182" s="192">
        <v>1</v>
      </c>
      <c r="C182" s="182"/>
      <c r="D182" s="182"/>
      <c r="E182" s="182"/>
      <c r="F182" s="182"/>
      <c r="G182" s="182"/>
      <c r="H182" s="182"/>
      <c r="I182" s="182"/>
      <c r="J182" s="182"/>
      <c r="K182" s="182"/>
      <c r="L182" s="182"/>
      <c r="M182" s="182"/>
      <c r="N182" s="182"/>
      <c r="O182" s="182"/>
      <c r="P182" s="182"/>
      <c r="Q182" s="182"/>
      <c r="R182" s="182"/>
      <c r="S182" s="182"/>
    </row>
    <row r="183" spans="1:19" x14ac:dyDescent="0.25">
      <c r="A183" s="191" t="s">
        <v>382</v>
      </c>
      <c r="B183" s="192">
        <v>1</v>
      </c>
      <c r="C183" s="182"/>
      <c r="D183" s="182"/>
      <c r="E183" s="182"/>
      <c r="F183" s="182"/>
      <c r="G183" s="182"/>
      <c r="H183" s="182"/>
      <c r="I183" s="182"/>
      <c r="J183" s="182"/>
      <c r="K183" s="182"/>
      <c r="L183" s="182"/>
      <c r="M183" s="182"/>
      <c r="N183" s="182"/>
      <c r="O183" s="182"/>
      <c r="P183" s="182"/>
      <c r="Q183" s="182"/>
      <c r="R183" s="182"/>
      <c r="S183" s="182"/>
    </row>
    <row r="184" spans="1:19" x14ac:dyDescent="0.25">
      <c r="A184" s="191" t="s">
        <v>383</v>
      </c>
      <c r="B184" s="192">
        <v>12</v>
      </c>
      <c r="C184" s="182"/>
      <c r="D184" s="182"/>
      <c r="E184" s="182"/>
      <c r="F184" s="182"/>
      <c r="G184" s="182"/>
      <c r="H184" s="182"/>
      <c r="I184" s="182"/>
      <c r="J184" s="182"/>
      <c r="K184" s="182"/>
      <c r="L184" s="182"/>
      <c r="M184" s="182"/>
      <c r="N184" s="182"/>
      <c r="O184" s="182"/>
      <c r="P184" s="182"/>
      <c r="Q184" s="182"/>
      <c r="R184" s="182"/>
      <c r="S184" s="182"/>
    </row>
    <row r="185" spans="1:19" x14ac:dyDescent="0.25">
      <c r="A185" s="191" t="s">
        <v>384</v>
      </c>
      <c r="B185" s="192">
        <v>4</v>
      </c>
      <c r="C185" s="182"/>
      <c r="D185" s="182"/>
      <c r="E185" s="182"/>
      <c r="F185" s="182"/>
      <c r="G185" s="182"/>
      <c r="H185" s="182"/>
      <c r="I185" s="182"/>
      <c r="J185" s="182"/>
      <c r="K185" s="182"/>
      <c r="L185" s="182"/>
      <c r="M185" s="182"/>
      <c r="N185" s="182"/>
      <c r="O185" s="182"/>
      <c r="P185" s="182"/>
      <c r="Q185" s="182"/>
      <c r="R185" s="182"/>
      <c r="S185" s="182"/>
    </row>
    <row r="186" spans="1:19" x14ac:dyDescent="0.25">
      <c r="A186" s="191" t="s">
        <v>385</v>
      </c>
      <c r="B186" s="192">
        <v>1</v>
      </c>
      <c r="C186" s="182"/>
      <c r="D186" s="182"/>
      <c r="E186" s="182"/>
      <c r="F186" s="182"/>
      <c r="G186" s="182"/>
      <c r="H186" s="182"/>
      <c r="I186" s="182"/>
      <c r="J186" s="182"/>
      <c r="K186" s="182"/>
      <c r="L186" s="182"/>
      <c r="M186" s="182"/>
      <c r="N186" s="182"/>
      <c r="O186" s="182"/>
      <c r="P186" s="182"/>
      <c r="Q186" s="182"/>
      <c r="R186" s="182"/>
      <c r="S186" s="182"/>
    </row>
    <row r="187" spans="1:19" x14ac:dyDescent="0.25">
      <c r="A187" s="191" t="s">
        <v>386</v>
      </c>
      <c r="B187" s="192">
        <v>5</v>
      </c>
      <c r="C187" s="182"/>
      <c r="D187" s="182"/>
      <c r="E187" s="182"/>
      <c r="F187" s="182"/>
      <c r="G187" s="182"/>
      <c r="H187" s="182"/>
      <c r="I187" s="182"/>
      <c r="J187" s="182"/>
      <c r="K187" s="182"/>
      <c r="L187" s="182"/>
      <c r="M187" s="182"/>
      <c r="N187" s="182"/>
      <c r="O187" s="182"/>
      <c r="P187" s="182"/>
      <c r="Q187" s="182"/>
      <c r="R187" s="182"/>
      <c r="S187" s="182"/>
    </row>
    <row r="188" spans="1:19" x14ac:dyDescent="0.25">
      <c r="A188" s="191" t="s">
        <v>387</v>
      </c>
      <c r="B188" s="192">
        <v>9</v>
      </c>
      <c r="C188" s="182"/>
      <c r="D188" s="182"/>
      <c r="E188" s="182"/>
      <c r="F188" s="182"/>
      <c r="G188" s="182"/>
      <c r="H188" s="182"/>
      <c r="I188" s="182"/>
      <c r="J188" s="182"/>
      <c r="K188" s="182"/>
      <c r="L188" s="182"/>
      <c r="M188" s="182"/>
      <c r="N188" s="182"/>
      <c r="O188" s="182"/>
      <c r="P188" s="182"/>
      <c r="Q188" s="182"/>
      <c r="R188" s="182"/>
      <c r="S188" s="182"/>
    </row>
    <row r="189" spans="1:19" x14ac:dyDescent="0.25">
      <c r="A189" s="191" t="s">
        <v>388</v>
      </c>
      <c r="B189" s="192">
        <v>-5</v>
      </c>
      <c r="C189" s="182"/>
      <c r="D189" s="182"/>
      <c r="E189" s="182"/>
      <c r="F189" s="182"/>
      <c r="G189" s="182"/>
      <c r="H189" s="182"/>
      <c r="I189" s="182"/>
      <c r="J189" s="182"/>
      <c r="K189" s="182"/>
      <c r="L189" s="182"/>
      <c r="M189" s="182"/>
      <c r="N189" s="182"/>
      <c r="O189" s="182"/>
      <c r="P189" s="182"/>
      <c r="Q189" s="182"/>
      <c r="R189" s="182"/>
      <c r="S189" s="182"/>
    </row>
    <row r="190" spans="1:19" x14ac:dyDescent="0.25">
      <c r="A190" s="191" t="s">
        <v>389</v>
      </c>
      <c r="B190" s="192">
        <v>10</v>
      </c>
      <c r="C190" s="182"/>
      <c r="D190" s="182"/>
      <c r="E190" s="182"/>
      <c r="F190" s="182"/>
      <c r="G190" s="182"/>
      <c r="H190" s="182"/>
      <c r="I190" s="182"/>
      <c r="J190" s="182"/>
      <c r="K190" s="182"/>
      <c r="L190" s="182"/>
      <c r="M190" s="182"/>
      <c r="N190" s="182"/>
      <c r="O190" s="182"/>
      <c r="P190" s="182"/>
      <c r="Q190" s="182"/>
      <c r="R190" s="182"/>
      <c r="S190" s="182"/>
    </row>
    <row r="191" spans="1:19" x14ac:dyDescent="0.25">
      <c r="A191" s="191" t="s">
        <v>390</v>
      </c>
      <c r="B191" s="192">
        <v>-4</v>
      </c>
      <c r="C191" s="182"/>
      <c r="D191" s="182"/>
      <c r="E191" s="182"/>
      <c r="F191" s="182"/>
      <c r="G191" s="182"/>
      <c r="H191" s="182"/>
      <c r="I191" s="182"/>
      <c r="J191" s="182"/>
      <c r="K191" s="182"/>
      <c r="L191" s="182"/>
      <c r="M191" s="182"/>
      <c r="N191" s="182"/>
      <c r="O191" s="182"/>
      <c r="P191" s="182"/>
      <c r="Q191" s="182"/>
      <c r="R191" s="182"/>
      <c r="S191" s="182"/>
    </row>
    <row r="192" spans="1:19" x14ac:dyDescent="0.25">
      <c r="A192" s="191" t="s">
        <v>391</v>
      </c>
      <c r="B192" s="192">
        <v>-5</v>
      </c>
      <c r="C192" s="182"/>
      <c r="D192" s="182"/>
      <c r="E192" s="182"/>
      <c r="F192" s="182"/>
      <c r="G192" s="182"/>
      <c r="H192" s="182"/>
      <c r="I192" s="182"/>
      <c r="J192" s="182"/>
      <c r="K192" s="182"/>
      <c r="L192" s="182"/>
      <c r="M192" s="182"/>
      <c r="N192" s="182"/>
      <c r="O192" s="182"/>
      <c r="P192" s="182"/>
      <c r="Q192" s="182"/>
      <c r="R192" s="182"/>
      <c r="S192" s="182"/>
    </row>
    <row r="193" spans="1:19" x14ac:dyDescent="0.25">
      <c r="A193" s="191" t="s">
        <v>392</v>
      </c>
      <c r="B193" s="192">
        <v>-10</v>
      </c>
      <c r="C193" s="182"/>
      <c r="D193" s="182"/>
      <c r="E193" s="182"/>
      <c r="F193" s="182"/>
      <c r="G193" s="182"/>
      <c r="H193" s="182"/>
      <c r="I193" s="182"/>
      <c r="J193" s="182"/>
      <c r="K193" s="182"/>
      <c r="L193" s="182"/>
      <c r="M193" s="182"/>
      <c r="N193" s="182"/>
      <c r="O193" s="182"/>
      <c r="P193" s="182"/>
      <c r="Q193" s="182"/>
      <c r="R193" s="182"/>
      <c r="S193" s="182"/>
    </row>
    <row r="194" spans="1:19" x14ac:dyDescent="0.25">
      <c r="A194" s="191" t="s">
        <v>393</v>
      </c>
      <c r="B194" s="192">
        <v>-9.5</v>
      </c>
      <c r="C194" s="182"/>
      <c r="D194" s="182"/>
      <c r="E194" s="182"/>
      <c r="F194" s="182"/>
      <c r="G194" s="182"/>
      <c r="H194" s="182"/>
      <c r="I194" s="182"/>
      <c r="J194" s="182"/>
      <c r="K194" s="182"/>
      <c r="L194" s="182"/>
      <c r="M194" s="182"/>
      <c r="N194" s="182"/>
      <c r="O194" s="182"/>
      <c r="P194" s="182"/>
      <c r="Q194" s="182"/>
      <c r="R194" s="182"/>
      <c r="S194" s="182"/>
    </row>
    <row r="195" spans="1:19" x14ac:dyDescent="0.25">
      <c r="A195" s="191" t="s">
        <v>393</v>
      </c>
      <c r="B195" s="192">
        <v>-9</v>
      </c>
      <c r="C195" s="182"/>
      <c r="D195" s="182"/>
      <c r="E195" s="182"/>
      <c r="F195" s="182"/>
      <c r="G195" s="182"/>
      <c r="H195" s="182"/>
      <c r="I195" s="182"/>
      <c r="J195" s="182"/>
      <c r="K195" s="182"/>
      <c r="L195" s="182"/>
      <c r="M195" s="182"/>
      <c r="N195" s="182"/>
      <c r="O195" s="182"/>
      <c r="P195" s="182"/>
      <c r="Q195" s="182"/>
      <c r="R195" s="182"/>
      <c r="S195" s="182"/>
    </row>
    <row r="196" spans="1:19" x14ac:dyDescent="0.25">
      <c r="A196" s="191" t="s">
        <v>394</v>
      </c>
      <c r="B196" s="192">
        <v>1</v>
      </c>
      <c r="C196" s="182"/>
      <c r="D196" s="182"/>
      <c r="E196" s="182"/>
      <c r="F196" s="182"/>
      <c r="G196" s="182"/>
      <c r="H196" s="182"/>
      <c r="I196" s="182"/>
      <c r="J196" s="182"/>
      <c r="K196" s="182"/>
      <c r="L196" s="182"/>
      <c r="M196" s="182"/>
      <c r="N196" s="182"/>
      <c r="O196" s="182"/>
      <c r="P196" s="182"/>
      <c r="Q196" s="182"/>
      <c r="R196" s="182"/>
      <c r="S196" s="182"/>
    </row>
    <row r="197" spans="1:19" x14ac:dyDescent="0.25">
      <c r="A197" s="191" t="s">
        <v>395</v>
      </c>
      <c r="B197" s="192">
        <v>-1</v>
      </c>
      <c r="C197" s="182"/>
      <c r="D197" s="182"/>
      <c r="E197" s="182"/>
      <c r="F197" s="182"/>
      <c r="G197" s="182"/>
      <c r="H197" s="182"/>
      <c r="I197" s="182"/>
      <c r="J197" s="182"/>
      <c r="K197" s="182"/>
      <c r="L197" s="182"/>
      <c r="M197" s="182"/>
      <c r="N197" s="182"/>
      <c r="O197" s="182"/>
      <c r="P197" s="182"/>
      <c r="Q197" s="182"/>
      <c r="R197" s="182"/>
      <c r="S197" s="182"/>
    </row>
    <row r="198" spans="1:19" x14ac:dyDescent="0.25">
      <c r="A198" s="191" t="s">
        <v>396</v>
      </c>
      <c r="B198" s="192">
        <v>0</v>
      </c>
      <c r="C198" s="182"/>
      <c r="D198" s="182"/>
      <c r="E198" s="182"/>
      <c r="F198" s="182"/>
      <c r="G198" s="182"/>
      <c r="H198" s="182"/>
      <c r="I198" s="182"/>
      <c r="J198" s="182"/>
      <c r="K198" s="182"/>
      <c r="L198" s="182"/>
      <c r="M198" s="182"/>
      <c r="N198" s="182"/>
      <c r="O198" s="182"/>
      <c r="P198" s="182"/>
      <c r="Q198" s="182"/>
      <c r="R198" s="182"/>
      <c r="S198" s="182"/>
    </row>
    <row r="199" spans="1:19" x14ac:dyDescent="0.25">
      <c r="A199" s="191" t="s">
        <v>397</v>
      </c>
      <c r="B199" s="192">
        <v>-4</v>
      </c>
      <c r="C199" s="182"/>
      <c r="D199" s="182"/>
      <c r="E199" s="182"/>
      <c r="F199" s="182"/>
      <c r="G199" s="182"/>
      <c r="H199" s="182"/>
      <c r="I199" s="182"/>
      <c r="J199" s="182"/>
      <c r="K199" s="182"/>
      <c r="L199" s="182"/>
      <c r="M199" s="182"/>
      <c r="N199" s="182"/>
      <c r="O199" s="182"/>
      <c r="P199" s="182"/>
      <c r="Q199" s="182"/>
      <c r="R199" s="182"/>
      <c r="S199" s="182"/>
    </row>
    <row r="200" spans="1:19" x14ac:dyDescent="0.25">
      <c r="A200" s="191" t="s">
        <v>398</v>
      </c>
      <c r="B200" s="192">
        <v>3</v>
      </c>
      <c r="C200" s="182"/>
      <c r="D200" s="182"/>
      <c r="E200" s="182"/>
      <c r="F200" s="182"/>
      <c r="G200" s="182"/>
      <c r="H200" s="182"/>
      <c r="I200" s="182"/>
      <c r="J200" s="182"/>
      <c r="K200" s="182"/>
      <c r="L200" s="182"/>
      <c r="M200" s="182"/>
      <c r="N200" s="182"/>
      <c r="O200" s="182"/>
      <c r="P200" s="182"/>
      <c r="Q200" s="182"/>
      <c r="R200" s="182"/>
      <c r="S200" s="182"/>
    </row>
    <row r="201" spans="1:19" x14ac:dyDescent="0.25">
      <c r="A201" s="191" t="s">
        <v>399</v>
      </c>
      <c r="B201" s="192">
        <v>0</v>
      </c>
      <c r="C201" s="182"/>
      <c r="D201" s="182"/>
      <c r="E201" s="182"/>
      <c r="F201" s="182"/>
      <c r="G201" s="182"/>
      <c r="H201" s="182"/>
      <c r="I201" s="182"/>
      <c r="J201" s="182"/>
      <c r="K201" s="182"/>
      <c r="L201" s="182"/>
      <c r="M201" s="182"/>
      <c r="N201" s="182"/>
      <c r="O201" s="182"/>
      <c r="P201" s="182"/>
      <c r="Q201" s="182"/>
      <c r="R201" s="182"/>
      <c r="S201" s="182"/>
    </row>
    <row r="202" spans="1:19" x14ac:dyDescent="0.25">
      <c r="A202" s="191" t="s">
        <v>400</v>
      </c>
      <c r="B202" s="192">
        <v>1</v>
      </c>
      <c r="C202" s="182"/>
      <c r="D202" s="182"/>
      <c r="E202" s="182"/>
      <c r="F202" s="182"/>
      <c r="G202" s="182"/>
      <c r="H202" s="182"/>
      <c r="I202" s="182"/>
      <c r="J202" s="182"/>
      <c r="K202" s="182"/>
      <c r="L202" s="182"/>
      <c r="M202" s="182"/>
      <c r="N202" s="182"/>
      <c r="O202" s="182"/>
      <c r="P202" s="182"/>
      <c r="Q202" s="182"/>
      <c r="R202" s="182"/>
      <c r="S202" s="182"/>
    </row>
    <row r="203" spans="1:19" x14ac:dyDescent="0.25">
      <c r="A203" s="191" t="s">
        <v>401</v>
      </c>
      <c r="B203" s="192">
        <v>1</v>
      </c>
      <c r="C203" s="182"/>
      <c r="D203" s="182"/>
      <c r="E203" s="182"/>
      <c r="F203" s="182"/>
      <c r="G203" s="182"/>
      <c r="H203" s="182"/>
      <c r="I203" s="182"/>
      <c r="J203" s="182"/>
      <c r="K203" s="182"/>
      <c r="L203" s="182"/>
      <c r="M203" s="182"/>
      <c r="N203" s="182"/>
      <c r="O203" s="182"/>
      <c r="P203" s="182"/>
      <c r="Q203" s="182"/>
      <c r="R203" s="182"/>
      <c r="S203" s="182"/>
    </row>
    <row r="204" spans="1:19" x14ac:dyDescent="0.25">
      <c r="A204" s="191" t="s">
        <v>402</v>
      </c>
      <c r="B204" s="192">
        <v>-4</v>
      </c>
      <c r="C204" s="182"/>
      <c r="D204" s="182"/>
      <c r="E204" s="182"/>
      <c r="F204" s="182"/>
      <c r="G204" s="182"/>
      <c r="H204" s="182"/>
      <c r="I204" s="182"/>
      <c r="J204" s="182"/>
      <c r="K204" s="182"/>
      <c r="L204" s="182"/>
      <c r="M204" s="182"/>
      <c r="N204" s="182"/>
      <c r="O204" s="182"/>
      <c r="P204" s="182"/>
      <c r="Q204" s="182"/>
      <c r="R204" s="182"/>
      <c r="S204" s="182"/>
    </row>
    <row r="205" spans="1:19" x14ac:dyDescent="0.25">
      <c r="A205" s="191" t="s">
        <v>403</v>
      </c>
      <c r="B205" s="192">
        <v>4</v>
      </c>
      <c r="C205" s="182"/>
      <c r="D205" s="182"/>
      <c r="E205" s="182"/>
      <c r="F205" s="182"/>
      <c r="G205" s="182"/>
      <c r="H205" s="182"/>
      <c r="I205" s="182"/>
      <c r="J205" s="182"/>
      <c r="K205" s="182"/>
      <c r="L205" s="182"/>
      <c r="M205" s="182"/>
      <c r="N205" s="182"/>
      <c r="O205" s="182"/>
      <c r="P205" s="182"/>
      <c r="Q205" s="182"/>
      <c r="R205" s="182"/>
      <c r="S205" s="182"/>
    </row>
    <row r="206" spans="1:19" x14ac:dyDescent="0.25">
      <c r="A206" s="191" t="s">
        <v>404</v>
      </c>
      <c r="B206" s="192">
        <v>2</v>
      </c>
      <c r="C206" s="182"/>
      <c r="D206" s="182"/>
      <c r="E206" s="182"/>
      <c r="F206" s="182"/>
      <c r="G206" s="182"/>
      <c r="H206" s="182"/>
      <c r="I206" s="182"/>
      <c r="J206" s="182"/>
      <c r="K206" s="182"/>
      <c r="L206" s="182"/>
      <c r="M206" s="182"/>
      <c r="N206" s="182"/>
      <c r="O206" s="182"/>
      <c r="P206" s="182"/>
      <c r="Q206" s="182"/>
      <c r="R206" s="182"/>
      <c r="S206" s="182"/>
    </row>
    <row r="207" spans="1:19" x14ac:dyDescent="0.25">
      <c r="A207" s="191" t="s">
        <v>405</v>
      </c>
      <c r="B207" s="192">
        <v>2</v>
      </c>
      <c r="C207" s="182"/>
      <c r="D207" s="182"/>
      <c r="E207" s="182"/>
      <c r="F207" s="182"/>
      <c r="G207" s="182"/>
      <c r="H207" s="182"/>
      <c r="I207" s="182"/>
      <c r="J207" s="182"/>
      <c r="K207" s="182"/>
      <c r="L207" s="182"/>
      <c r="M207" s="182"/>
      <c r="N207" s="182"/>
      <c r="O207" s="182"/>
      <c r="P207" s="182"/>
      <c r="Q207" s="182"/>
      <c r="R207" s="182"/>
      <c r="S207" s="182"/>
    </row>
    <row r="208" spans="1:19" x14ac:dyDescent="0.25">
      <c r="A208" s="191" t="s">
        <v>406</v>
      </c>
      <c r="B208" s="192">
        <v>2</v>
      </c>
      <c r="C208" s="182"/>
      <c r="D208" s="182"/>
      <c r="E208" s="182"/>
      <c r="F208" s="182"/>
      <c r="G208" s="182"/>
      <c r="H208" s="182"/>
      <c r="I208" s="182"/>
      <c r="J208" s="182"/>
      <c r="K208" s="182"/>
      <c r="L208" s="182"/>
      <c r="M208" s="182"/>
      <c r="N208" s="182"/>
      <c r="O208" s="182"/>
      <c r="P208" s="182"/>
      <c r="Q208" s="182"/>
      <c r="R208" s="182"/>
      <c r="S208" s="182"/>
    </row>
    <row r="209" spans="1:19" x14ac:dyDescent="0.25">
      <c r="A209" s="191" t="s">
        <v>407</v>
      </c>
      <c r="B209" s="192">
        <v>3</v>
      </c>
      <c r="C209" s="182"/>
      <c r="D209" s="182"/>
      <c r="E209" s="182"/>
      <c r="F209" s="182"/>
      <c r="G209" s="182"/>
      <c r="H209" s="182"/>
      <c r="I209" s="182"/>
      <c r="J209" s="182"/>
      <c r="K209" s="182"/>
      <c r="L209" s="182"/>
      <c r="M209" s="182"/>
      <c r="N209" s="182"/>
      <c r="O209" s="182"/>
      <c r="P209" s="182"/>
      <c r="Q209" s="182"/>
      <c r="R209" s="182"/>
      <c r="S209" s="182"/>
    </row>
    <row r="210" spans="1:19" x14ac:dyDescent="0.25">
      <c r="A210" s="191" t="s">
        <v>408</v>
      </c>
      <c r="B210" s="192">
        <v>9</v>
      </c>
      <c r="C210" s="182"/>
      <c r="D210" s="182"/>
      <c r="E210" s="182"/>
      <c r="F210" s="182"/>
      <c r="G210" s="182"/>
      <c r="H210" s="182"/>
      <c r="I210" s="182"/>
      <c r="J210" s="182"/>
      <c r="K210" s="182"/>
      <c r="L210" s="182"/>
      <c r="M210" s="182"/>
      <c r="N210" s="182"/>
      <c r="O210" s="182"/>
      <c r="P210" s="182"/>
      <c r="Q210" s="182"/>
      <c r="R210" s="182"/>
      <c r="S210" s="182"/>
    </row>
    <row r="211" spans="1:19" x14ac:dyDescent="0.25">
      <c r="A211" s="191" t="s">
        <v>409</v>
      </c>
      <c r="B211" s="192">
        <v>8</v>
      </c>
      <c r="C211" s="182"/>
      <c r="D211" s="182"/>
      <c r="E211" s="182"/>
      <c r="F211" s="182"/>
      <c r="G211" s="182"/>
      <c r="H211" s="182"/>
      <c r="I211" s="182"/>
      <c r="J211" s="182"/>
      <c r="K211" s="182"/>
      <c r="L211" s="182"/>
      <c r="M211" s="182"/>
      <c r="N211" s="182"/>
      <c r="O211" s="182"/>
      <c r="P211" s="182"/>
      <c r="Q211" s="182"/>
      <c r="R211" s="182"/>
      <c r="S211" s="182"/>
    </row>
    <row r="212" spans="1:19" x14ac:dyDescent="0.25">
      <c r="A212" s="191" t="s">
        <v>410</v>
      </c>
      <c r="B212" s="192">
        <v>4</v>
      </c>
      <c r="C212" s="182"/>
      <c r="D212" s="182"/>
      <c r="E212" s="182"/>
      <c r="F212" s="182"/>
      <c r="G212" s="182"/>
      <c r="H212" s="182"/>
      <c r="I212" s="182"/>
      <c r="J212" s="182"/>
      <c r="K212" s="182"/>
      <c r="L212" s="182"/>
      <c r="M212" s="182"/>
      <c r="N212" s="182"/>
      <c r="O212" s="182"/>
      <c r="P212" s="182"/>
      <c r="Q212" s="182"/>
      <c r="R212" s="182"/>
      <c r="S212" s="182"/>
    </row>
    <row r="213" spans="1:19" x14ac:dyDescent="0.25">
      <c r="A213" s="191" t="s">
        <v>411</v>
      </c>
      <c r="B213" s="192">
        <v>5</v>
      </c>
      <c r="C213" s="182"/>
      <c r="D213" s="182"/>
      <c r="E213" s="182"/>
      <c r="F213" s="182"/>
      <c r="G213" s="182"/>
      <c r="H213" s="182"/>
      <c r="I213" s="182"/>
      <c r="J213" s="182"/>
      <c r="K213" s="182"/>
      <c r="L213" s="182"/>
      <c r="M213" s="182"/>
      <c r="N213" s="182"/>
      <c r="O213" s="182"/>
      <c r="P213" s="182"/>
      <c r="Q213" s="182"/>
      <c r="R213" s="182"/>
      <c r="S213" s="182"/>
    </row>
    <row r="214" spans="1:19" x14ac:dyDescent="0.25">
      <c r="A214" s="191" t="s">
        <v>412</v>
      </c>
      <c r="B214" s="192">
        <v>10</v>
      </c>
      <c r="C214" s="182"/>
      <c r="D214" s="182"/>
      <c r="E214" s="182"/>
      <c r="F214" s="182"/>
      <c r="G214" s="182"/>
      <c r="H214" s="182"/>
      <c r="I214" s="182"/>
      <c r="J214" s="182"/>
      <c r="K214" s="182"/>
      <c r="L214" s="182"/>
      <c r="M214" s="182"/>
      <c r="N214" s="182"/>
      <c r="O214" s="182"/>
      <c r="P214" s="182"/>
      <c r="Q214" s="182"/>
      <c r="R214" s="182"/>
      <c r="S214" s="182"/>
    </row>
    <row r="215" spans="1:19" x14ac:dyDescent="0.25">
      <c r="A215" s="191" t="s">
        <v>413</v>
      </c>
      <c r="B215" s="192">
        <v>6</v>
      </c>
      <c r="C215" s="182"/>
      <c r="D215" s="182"/>
      <c r="E215" s="182"/>
      <c r="F215" s="182"/>
      <c r="G215" s="182"/>
      <c r="H215" s="182"/>
      <c r="I215" s="182"/>
      <c r="J215" s="182"/>
      <c r="K215" s="182"/>
      <c r="L215" s="182"/>
      <c r="M215" s="182"/>
      <c r="N215" s="182"/>
      <c r="O215" s="182"/>
      <c r="P215" s="182"/>
      <c r="Q215" s="182"/>
      <c r="R215" s="182"/>
      <c r="S215" s="182"/>
    </row>
    <row r="216" spans="1:19" x14ac:dyDescent="0.25">
      <c r="A216" s="191" t="s">
        <v>414</v>
      </c>
      <c r="B216" s="192">
        <v>11</v>
      </c>
      <c r="C216" s="182"/>
      <c r="D216" s="182"/>
      <c r="E216" s="182"/>
      <c r="F216" s="182"/>
      <c r="G216" s="182"/>
      <c r="H216" s="182"/>
      <c r="I216" s="182"/>
      <c r="J216" s="182"/>
      <c r="K216" s="182"/>
      <c r="L216" s="182"/>
      <c r="M216" s="182"/>
      <c r="N216" s="182"/>
      <c r="O216" s="182"/>
      <c r="P216" s="182"/>
      <c r="Q216" s="182"/>
      <c r="R216" s="182"/>
      <c r="S216" s="182"/>
    </row>
    <row r="217" spans="1:19" x14ac:dyDescent="0.25">
      <c r="A217" s="191" t="s">
        <v>415</v>
      </c>
      <c r="B217" s="192">
        <v>7</v>
      </c>
      <c r="C217" s="182"/>
      <c r="D217" s="182"/>
      <c r="E217" s="182"/>
      <c r="F217" s="182"/>
      <c r="G217" s="182"/>
      <c r="H217" s="182"/>
      <c r="I217" s="182"/>
      <c r="J217" s="182"/>
      <c r="K217" s="182"/>
      <c r="L217" s="182"/>
      <c r="M217" s="182"/>
      <c r="N217" s="182"/>
      <c r="O217" s="182"/>
      <c r="P217" s="182"/>
      <c r="Q217" s="182"/>
      <c r="R217" s="182"/>
      <c r="S217" s="182"/>
    </row>
    <row r="218" spans="1:19" x14ac:dyDescent="0.25">
      <c r="A218" s="191" t="s">
        <v>416</v>
      </c>
      <c r="B218" s="192">
        <v>12</v>
      </c>
      <c r="C218" s="182"/>
      <c r="D218" s="182"/>
      <c r="E218" s="182"/>
      <c r="F218" s="182"/>
      <c r="G218" s="182"/>
      <c r="H218" s="182"/>
      <c r="I218" s="182"/>
      <c r="J218" s="182"/>
      <c r="K218" s="182"/>
      <c r="L218" s="182"/>
      <c r="M218" s="182"/>
      <c r="N218" s="182"/>
      <c r="O218" s="182"/>
      <c r="P218" s="182"/>
      <c r="Q218" s="182"/>
      <c r="R218" s="182"/>
      <c r="S218" s="182"/>
    </row>
    <row r="219" spans="1:19" x14ac:dyDescent="0.25">
      <c r="A219" s="191" t="s">
        <v>417</v>
      </c>
      <c r="B219" s="192">
        <v>-11</v>
      </c>
      <c r="C219" s="182"/>
      <c r="D219" s="182"/>
      <c r="E219" s="182"/>
      <c r="F219" s="182"/>
      <c r="G219" s="182"/>
      <c r="H219" s="182"/>
      <c r="I219" s="182"/>
      <c r="J219" s="182"/>
      <c r="K219" s="182"/>
      <c r="L219" s="182"/>
      <c r="M219" s="182"/>
      <c r="N219" s="182"/>
      <c r="O219" s="182"/>
      <c r="P219" s="182"/>
      <c r="Q219" s="182"/>
      <c r="R219" s="182"/>
      <c r="S219" s="182"/>
    </row>
    <row r="220" spans="1:19" x14ac:dyDescent="0.25">
      <c r="A220" s="191" t="s">
        <v>418</v>
      </c>
      <c r="B220" s="192">
        <v>-4</v>
      </c>
      <c r="C220" s="182"/>
      <c r="D220" s="182"/>
      <c r="E220" s="182"/>
      <c r="F220" s="182"/>
      <c r="G220" s="182"/>
      <c r="H220" s="182"/>
      <c r="I220" s="182"/>
      <c r="J220" s="182"/>
      <c r="K220" s="182"/>
      <c r="L220" s="182"/>
      <c r="M220" s="182"/>
      <c r="N220" s="182"/>
      <c r="O220" s="182"/>
      <c r="P220" s="182"/>
      <c r="Q220" s="182"/>
      <c r="R220" s="182"/>
      <c r="S220" s="182"/>
    </row>
    <row r="221" spans="1:19" x14ac:dyDescent="0.25">
      <c r="A221" s="191" t="s">
        <v>419</v>
      </c>
      <c r="B221" s="192">
        <v>-4</v>
      </c>
      <c r="C221" s="182"/>
      <c r="D221" s="182"/>
      <c r="E221" s="182"/>
      <c r="F221" s="182"/>
      <c r="G221" s="182"/>
      <c r="H221" s="182"/>
      <c r="I221" s="182"/>
      <c r="J221" s="182"/>
      <c r="K221" s="182"/>
      <c r="L221" s="182"/>
      <c r="M221" s="182"/>
      <c r="N221" s="182"/>
      <c r="O221" s="182"/>
      <c r="P221" s="182"/>
      <c r="Q221" s="182"/>
      <c r="R221" s="182"/>
      <c r="S221" s="182"/>
    </row>
    <row r="222" spans="1:19" x14ac:dyDescent="0.25">
      <c r="A222" s="191" t="s">
        <v>420</v>
      </c>
      <c r="B222" s="192">
        <v>1</v>
      </c>
      <c r="C222" s="182"/>
      <c r="D222" s="182"/>
      <c r="E222" s="182"/>
      <c r="F222" s="182"/>
      <c r="G222" s="182"/>
      <c r="H222" s="182"/>
      <c r="I222" s="182"/>
      <c r="J222" s="182"/>
      <c r="K222" s="182"/>
      <c r="L222" s="182"/>
      <c r="M222" s="182"/>
      <c r="N222" s="182"/>
      <c r="O222" s="182"/>
      <c r="P222" s="182"/>
      <c r="Q222" s="182"/>
      <c r="R222" s="182"/>
      <c r="S222" s="182"/>
    </row>
    <row r="223" spans="1:19" x14ac:dyDescent="0.25">
      <c r="A223" s="191" t="s">
        <v>421</v>
      </c>
      <c r="B223" s="192">
        <v>-4</v>
      </c>
      <c r="C223" s="182"/>
      <c r="D223" s="182"/>
      <c r="E223" s="182"/>
      <c r="F223" s="182"/>
      <c r="G223" s="182"/>
      <c r="H223" s="182"/>
      <c r="I223" s="182"/>
      <c r="J223" s="182"/>
      <c r="K223" s="182"/>
      <c r="L223" s="182"/>
      <c r="M223" s="182"/>
      <c r="N223" s="182"/>
      <c r="O223" s="182"/>
      <c r="P223" s="182"/>
      <c r="Q223" s="182"/>
      <c r="R223" s="182"/>
      <c r="S223" s="182"/>
    </row>
    <row r="224" spans="1:19" x14ac:dyDescent="0.25">
      <c r="A224" s="191" t="s">
        <v>422</v>
      </c>
      <c r="B224" s="192">
        <v>-3</v>
      </c>
      <c r="C224" s="182"/>
      <c r="D224" s="182"/>
      <c r="E224" s="182"/>
      <c r="F224" s="182"/>
      <c r="G224" s="182"/>
      <c r="H224" s="182"/>
      <c r="I224" s="182"/>
      <c r="J224" s="182"/>
      <c r="K224" s="182"/>
      <c r="L224" s="182"/>
      <c r="M224" s="182"/>
      <c r="N224" s="182"/>
      <c r="O224" s="182"/>
      <c r="P224" s="182"/>
      <c r="Q224" s="182"/>
      <c r="R224" s="182"/>
      <c r="S224" s="182"/>
    </row>
    <row r="225" spans="1:19" x14ac:dyDescent="0.25">
      <c r="A225" s="191" t="s">
        <v>423</v>
      </c>
      <c r="B225" s="192">
        <v>-4</v>
      </c>
      <c r="C225" s="182"/>
      <c r="D225" s="182"/>
      <c r="E225" s="182"/>
      <c r="F225" s="182"/>
      <c r="G225" s="182"/>
      <c r="H225" s="182"/>
      <c r="I225" s="182"/>
      <c r="J225" s="182"/>
      <c r="K225" s="182"/>
      <c r="L225" s="182"/>
      <c r="M225" s="182"/>
      <c r="N225" s="182"/>
      <c r="O225" s="182"/>
      <c r="P225" s="182"/>
      <c r="Q225" s="182"/>
      <c r="R225" s="182"/>
      <c r="S225" s="182"/>
    </row>
    <row r="226" spans="1:19" x14ac:dyDescent="0.25">
      <c r="A226" s="191" t="s">
        <v>424</v>
      </c>
      <c r="B226" s="192">
        <v>-4</v>
      </c>
      <c r="C226" s="182"/>
      <c r="D226" s="182"/>
      <c r="E226" s="182"/>
      <c r="F226" s="182"/>
      <c r="G226" s="182"/>
      <c r="H226" s="182"/>
      <c r="I226" s="182"/>
      <c r="J226" s="182"/>
      <c r="K226" s="182"/>
      <c r="L226" s="182"/>
      <c r="M226" s="182"/>
      <c r="N226" s="182"/>
      <c r="O226" s="182"/>
      <c r="P226" s="182"/>
      <c r="Q226" s="182"/>
      <c r="R226" s="182"/>
      <c r="S226" s="182"/>
    </row>
    <row r="227" spans="1:19" x14ac:dyDescent="0.25">
      <c r="A227" s="191" t="s">
        <v>425</v>
      </c>
      <c r="B227" s="192">
        <v>0</v>
      </c>
      <c r="C227" s="182"/>
      <c r="D227" s="182"/>
      <c r="E227" s="182"/>
      <c r="F227" s="182"/>
      <c r="G227" s="182"/>
      <c r="H227" s="182"/>
      <c r="I227" s="182"/>
      <c r="J227" s="182"/>
      <c r="K227" s="182"/>
      <c r="L227" s="182"/>
      <c r="M227" s="182"/>
      <c r="N227" s="182"/>
      <c r="O227" s="182"/>
      <c r="P227" s="182"/>
      <c r="Q227" s="182"/>
      <c r="R227" s="182"/>
      <c r="S227" s="182"/>
    </row>
    <row r="228" spans="1:19" x14ac:dyDescent="0.25">
      <c r="A228" s="191" t="s">
        <v>426</v>
      </c>
      <c r="B228" s="192">
        <v>0</v>
      </c>
      <c r="C228" s="182"/>
      <c r="D228" s="182"/>
      <c r="E228" s="182"/>
      <c r="F228" s="182"/>
      <c r="G228" s="182"/>
      <c r="H228" s="182"/>
      <c r="I228" s="182"/>
      <c r="J228" s="182"/>
      <c r="K228" s="182"/>
      <c r="L228" s="182"/>
      <c r="M228" s="182"/>
      <c r="N228" s="182"/>
      <c r="O228" s="182"/>
      <c r="P228" s="182"/>
      <c r="Q228" s="182"/>
      <c r="R228" s="182"/>
      <c r="S228" s="182"/>
    </row>
    <row r="229" spans="1:19" x14ac:dyDescent="0.25">
      <c r="A229" s="191" t="s">
        <v>427</v>
      </c>
      <c r="B229" s="192">
        <v>1</v>
      </c>
      <c r="C229" s="182"/>
      <c r="D229" s="182"/>
      <c r="E229" s="182"/>
      <c r="F229" s="182"/>
      <c r="G229" s="182"/>
      <c r="H229" s="182"/>
      <c r="I229" s="182"/>
      <c r="J229" s="182"/>
      <c r="K229" s="182"/>
      <c r="L229" s="182"/>
      <c r="M229" s="182"/>
      <c r="N229" s="182"/>
      <c r="O229" s="182"/>
      <c r="P229" s="182"/>
      <c r="Q229" s="182"/>
      <c r="R229" s="182"/>
      <c r="S229" s="182"/>
    </row>
    <row r="230" spans="1:19" x14ac:dyDescent="0.25">
      <c r="A230" s="191" t="s">
        <v>428</v>
      </c>
      <c r="B230" s="192">
        <v>4</v>
      </c>
      <c r="C230" s="182"/>
      <c r="D230" s="182"/>
      <c r="E230" s="182"/>
      <c r="F230" s="182"/>
      <c r="G230" s="182"/>
      <c r="H230" s="182"/>
      <c r="I230" s="182"/>
      <c r="J230" s="182"/>
      <c r="K230" s="182"/>
      <c r="L230" s="182"/>
      <c r="M230" s="182"/>
      <c r="N230" s="182"/>
      <c r="O230" s="182"/>
      <c r="P230" s="182"/>
      <c r="Q230" s="182"/>
      <c r="R230" s="182"/>
      <c r="S230" s="182"/>
    </row>
    <row r="231" spans="1:19" x14ac:dyDescent="0.25">
      <c r="A231" s="191" t="s">
        <v>429</v>
      </c>
      <c r="B231" s="192">
        <v>0</v>
      </c>
      <c r="C231" s="182"/>
      <c r="D231" s="182"/>
      <c r="E231" s="182"/>
      <c r="F231" s="182"/>
      <c r="G231" s="182"/>
      <c r="H231" s="182"/>
      <c r="I231" s="182"/>
      <c r="J231" s="182"/>
      <c r="K231" s="182"/>
      <c r="L231" s="182"/>
      <c r="M231" s="182"/>
      <c r="N231" s="182"/>
      <c r="O231" s="182"/>
      <c r="P231" s="182"/>
      <c r="Q231" s="182"/>
      <c r="R231" s="182"/>
      <c r="S231" s="182"/>
    </row>
    <row r="232" spans="1:19" x14ac:dyDescent="0.25">
      <c r="A232" s="191" t="s">
        <v>430</v>
      </c>
      <c r="B232" s="192">
        <v>8</v>
      </c>
      <c r="C232" s="182"/>
      <c r="D232" s="182"/>
      <c r="E232" s="182"/>
      <c r="F232" s="182"/>
      <c r="G232" s="182"/>
      <c r="H232" s="182"/>
      <c r="I232" s="182"/>
      <c r="J232" s="182"/>
      <c r="K232" s="182"/>
      <c r="L232" s="182"/>
      <c r="M232" s="182"/>
      <c r="N232" s="182"/>
      <c r="O232" s="182"/>
      <c r="P232" s="182"/>
      <c r="Q232" s="182"/>
      <c r="R232" s="182"/>
      <c r="S232" s="182"/>
    </row>
    <row r="233" spans="1:19" x14ac:dyDescent="0.25">
      <c r="A233" s="191" t="s">
        <v>431</v>
      </c>
      <c r="B233" s="192">
        <v>2</v>
      </c>
      <c r="C233" s="182"/>
      <c r="D233" s="182"/>
      <c r="E233" s="182"/>
      <c r="F233" s="182"/>
      <c r="G233" s="182"/>
      <c r="H233" s="182"/>
      <c r="I233" s="182"/>
      <c r="J233" s="182"/>
      <c r="K233" s="182"/>
      <c r="L233" s="182"/>
      <c r="M233" s="182"/>
      <c r="N233" s="182"/>
      <c r="O233" s="182"/>
      <c r="P233" s="182"/>
      <c r="Q233" s="182"/>
      <c r="R233" s="182"/>
      <c r="S233" s="182"/>
    </row>
    <row r="234" spans="1:19" x14ac:dyDescent="0.25">
      <c r="A234" s="191" t="s">
        <v>432</v>
      </c>
      <c r="B234" s="192">
        <v>3</v>
      </c>
      <c r="C234" s="182"/>
      <c r="D234" s="182"/>
      <c r="E234" s="182"/>
      <c r="F234" s="182"/>
      <c r="G234" s="182"/>
      <c r="H234" s="182"/>
      <c r="I234" s="182"/>
      <c r="J234" s="182"/>
      <c r="K234" s="182"/>
      <c r="L234" s="182"/>
      <c r="M234" s="182"/>
      <c r="N234" s="182"/>
      <c r="O234" s="182"/>
      <c r="P234" s="182"/>
      <c r="Q234" s="182"/>
      <c r="R234" s="182"/>
      <c r="S234" s="182"/>
    </row>
    <row r="235" spans="1:19" x14ac:dyDescent="0.25">
      <c r="A235" s="191" t="s">
        <v>433</v>
      </c>
      <c r="B235" s="192">
        <v>5.5</v>
      </c>
      <c r="C235" s="182"/>
      <c r="D235" s="182"/>
      <c r="E235" s="182"/>
      <c r="F235" s="182"/>
      <c r="G235" s="182"/>
      <c r="H235" s="182"/>
      <c r="I235" s="182"/>
      <c r="J235" s="182"/>
      <c r="K235" s="182"/>
      <c r="L235" s="182"/>
      <c r="M235" s="182"/>
      <c r="N235" s="182"/>
      <c r="O235" s="182"/>
      <c r="P235" s="182"/>
      <c r="Q235" s="182"/>
      <c r="R235" s="182"/>
      <c r="S235" s="182"/>
    </row>
    <row r="236" spans="1:19" x14ac:dyDescent="0.25">
      <c r="A236" s="191" t="s">
        <v>434</v>
      </c>
      <c r="B236" s="192">
        <v>2</v>
      </c>
      <c r="C236" s="182"/>
      <c r="D236" s="182"/>
      <c r="E236" s="182"/>
      <c r="F236" s="182"/>
      <c r="G236" s="182"/>
      <c r="H236" s="182"/>
      <c r="I236" s="182"/>
      <c r="J236" s="182"/>
      <c r="K236" s="182"/>
      <c r="L236" s="182"/>
      <c r="M236" s="182"/>
      <c r="N236" s="182"/>
      <c r="O236" s="182"/>
      <c r="P236" s="182"/>
      <c r="Q236" s="182"/>
      <c r="R236" s="182"/>
      <c r="S236" s="182"/>
    </row>
    <row r="237" spans="1:19" x14ac:dyDescent="0.25">
      <c r="A237" s="191" t="s">
        <v>435</v>
      </c>
      <c r="B237" s="192">
        <v>2</v>
      </c>
      <c r="C237" s="182"/>
      <c r="D237" s="182"/>
      <c r="E237" s="182"/>
      <c r="F237" s="182"/>
      <c r="G237" s="182"/>
      <c r="H237" s="182"/>
      <c r="I237" s="182"/>
      <c r="J237" s="182"/>
      <c r="K237" s="182"/>
      <c r="L237" s="182"/>
      <c r="M237" s="182"/>
      <c r="N237" s="182"/>
      <c r="O237" s="182"/>
      <c r="P237" s="182"/>
      <c r="Q237" s="182"/>
      <c r="R237" s="182"/>
      <c r="S237" s="182"/>
    </row>
    <row r="238" spans="1:19" x14ac:dyDescent="0.25">
      <c r="A238" s="191" t="s">
        <v>436</v>
      </c>
      <c r="B238" s="192">
        <v>3</v>
      </c>
      <c r="C238" s="182"/>
      <c r="D238" s="182"/>
      <c r="E238" s="182"/>
      <c r="F238" s="182"/>
      <c r="G238" s="182"/>
      <c r="H238" s="182"/>
      <c r="I238" s="182"/>
      <c r="J238" s="182"/>
      <c r="K238" s="182"/>
      <c r="L238" s="182"/>
      <c r="M238" s="182"/>
      <c r="N238" s="182"/>
      <c r="O238" s="182"/>
      <c r="P238" s="182"/>
      <c r="Q238" s="182"/>
      <c r="R238" s="182"/>
      <c r="S238" s="182"/>
    </row>
    <row r="239" spans="1:19" x14ac:dyDescent="0.25">
      <c r="A239" s="191" t="s">
        <v>437</v>
      </c>
      <c r="B239" s="192">
        <v>1</v>
      </c>
      <c r="C239" s="182"/>
      <c r="D239" s="182"/>
      <c r="E239" s="182"/>
      <c r="F239" s="182"/>
      <c r="G239" s="182"/>
      <c r="H239" s="182"/>
      <c r="I239" s="182"/>
      <c r="J239" s="182"/>
      <c r="K239" s="182"/>
      <c r="L239" s="182"/>
      <c r="M239" s="182"/>
      <c r="N239" s="182"/>
      <c r="O239" s="182"/>
      <c r="P239" s="182"/>
      <c r="Q239" s="182"/>
      <c r="R239" s="182"/>
      <c r="S239" s="182"/>
    </row>
    <row r="240" spans="1:19" x14ac:dyDescent="0.25">
      <c r="A240" s="191" t="s">
        <v>438</v>
      </c>
      <c r="B240" s="192">
        <v>1</v>
      </c>
      <c r="C240" s="182"/>
      <c r="D240" s="182"/>
      <c r="E240" s="182"/>
      <c r="F240" s="182"/>
      <c r="G240" s="182"/>
      <c r="H240" s="182"/>
      <c r="I240" s="182"/>
      <c r="J240" s="182"/>
      <c r="K240" s="182"/>
      <c r="L240" s="182"/>
      <c r="M240" s="182"/>
      <c r="N240" s="182"/>
      <c r="O240" s="182"/>
      <c r="P240" s="182"/>
      <c r="Q240" s="182"/>
      <c r="R240" s="182"/>
      <c r="S240" s="182"/>
    </row>
    <row r="241" spans="1:19" x14ac:dyDescent="0.25">
      <c r="A241" s="191" t="s">
        <v>439</v>
      </c>
      <c r="B241" s="192">
        <v>-3</v>
      </c>
      <c r="C241" s="182"/>
      <c r="D241" s="182"/>
      <c r="E241" s="182"/>
      <c r="F241" s="182"/>
      <c r="G241" s="182"/>
      <c r="H241" s="182"/>
      <c r="I241" s="182"/>
      <c r="J241" s="182"/>
      <c r="K241" s="182"/>
      <c r="L241" s="182"/>
      <c r="M241" s="182"/>
      <c r="N241" s="182"/>
      <c r="O241" s="182"/>
      <c r="P241" s="182"/>
      <c r="Q241" s="182"/>
      <c r="R241" s="182"/>
      <c r="S241" s="182"/>
    </row>
    <row r="242" spans="1:19" x14ac:dyDescent="0.25">
      <c r="A242" s="191" t="s">
        <v>440</v>
      </c>
      <c r="B242" s="192">
        <v>7</v>
      </c>
      <c r="C242" s="182"/>
      <c r="D242" s="182"/>
      <c r="E242" s="182"/>
      <c r="F242" s="182"/>
      <c r="G242" s="182"/>
      <c r="H242" s="182"/>
      <c r="I242" s="182"/>
      <c r="J242" s="182"/>
      <c r="K242" s="182"/>
      <c r="L242" s="182"/>
      <c r="M242" s="182"/>
      <c r="N242" s="182"/>
      <c r="O242" s="182"/>
      <c r="P242" s="182"/>
      <c r="Q242" s="182"/>
      <c r="R242" s="182"/>
      <c r="S242" s="182"/>
    </row>
    <row r="243" spans="1:19" x14ac:dyDescent="0.25">
      <c r="A243" s="191" t="s">
        <v>441</v>
      </c>
      <c r="B243" s="192">
        <v>3</v>
      </c>
      <c r="C243" s="182"/>
      <c r="D243" s="182"/>
      <c r="E243" s="182"/>
      <c r="F243" s="182"/>
      <c r="G243" s="182"/>
      <c r="H243" s="182"/>
      <c r="I243" s="182"/>
      <c r="J243" s="182"/>
      <c r="K243" s="182"/>
      <c r="L243" s="182"/>
      <c r="M243" s="182"/>
      <c r="N243" s="182"/>
      <c r="O243" s="182"/>
      <c r="P243" s="182"/>
      <c r="Q243" s="182"/>
      <c r="R243" s="182"/>
      <c r="S243" s="182"/>
    </row>
    <row r="244" spans="1:19" x14ac:dyDescent="0.25">
      <c r="A244" s="191" t="s">
        <v>442</v>
      </c>
      <c r="B244" s="192">
        <v>5</v>
      </c>
      <c r="C244" s="182"/>
      <c r="D244" s="182"/>
      <c r="E244" s="182"/>
      <c r="F244" s="182"/>
      <c r="G244" s="182"/>
      <c r="H244" s="182"/>
      <c r="I244" s="182"/>
      <c r="J244" s="182"/>
      <c r="K244" s="182"/>
      <c r="L244" s="182"/>
      <c r="M244" s="182"/>
      <c r="N244" s="182"/>
      <c r="O244" s="182"/>
      <c r="P244" s="182"/>
      <c r="Q244" s="182"/>
      <c r="R244" s="182"/>
      <c r="S244" s="182"/>
    </row>
    <row r="245" spans="1:19" x14ac:dyDescent="0.25">
      <c r="A245" s="191" t="s">
        <v>443</v>
      </c>
      <c r="B245" s="192">
        <v>9</v>
      </c>
      <c r="C245" s="182"/>
      <c r="D245" s="182"/>
      <c r="E245" s="182"/>
      <c r="F245" s="182"/>
      <c r="G245" s="182"/>
      <c r="H245" s="182"/>
      <c r="I245" s="182"/>
      <c r="J245" s="182"/>
      <c r="K245" s="182"/>
      <c r="L245" s="182"/>
      <c r="M245" s="182"/>
      <c r="N245" s="182"/>
      <c r="O245" s="182"/>
      <c r="P245" s="182"/>
      <c r="Q245" s="182"/>
      <c r="R245" s="182"/>
      <c r="S245" s="182"/>
    </row>
    <row r="246" spans="1:19" x14ac:dyDescent="0.25">
      <c r="A246" s="191" t="s">
        <v>444</v>
      </c>
      <c r="B246" s="192">
        <v>0</v>
      </c>
      <c r="C246" s="182"/>
      <c r="D246" s="182"/>
      <c r="E246" s="182"/>
      <c r="F246" s="182"/>
      <c r="G246" s="182"/>
      <c r="H246" s="182"/>
      <c r="I246" s="182"/>
      <c r="J246" s="182"/>
      <c r="K246" s="182"/>
      <c r="L246" s="182"/>
      <c r="M246" s="182"/>
      <c r="N246" s="182"/>
      <c r="O246" s="182"/>
      <c r="P246" s="182"/>
      <c r="Q246" s="182"/>
      <c r="R246" s="182"/>
      <c r="S246" s="182"/>
    </row>
    <row r="247" spans="1:19" x14ac:dyDescent="0.25">
      <c r="A247" s="191" t="s">
        <v>445</v>
      </c>
      <c r="B247" s="192">
        <v>13</v>
      </c>
      <c r="C247" s="182"/>
      <c r="D247" s="182"/>
      <c r="E247" s="182"/>
      <c r="F247" s="182"/>
      <c r="G247" s="182"/>
      <c r="H247" s="182"/>
      <c r="I247" s="182"/>
      <c r="J247" s="182"/>
      <c r="K247" s="182"/>
      <c r="L247" s="182"/>
      <c r="M247" s="182"/>
      <c r="N247" s="182"/>
      <c r="O247" s="182"/>
      <c r="P247" s="182"/>
      <c r="Q247" s="182"/>
      <c r="R247" s="182"/>
      <c r="S247" s="182"/>
    </row>
    <row r="248" spans="1:19" x14ac:dyDescent="0.25">
      <c r="A248" s="191" t="s">
        <v>446</v>
      </c>
      <c r="B248" s="192">
        <v>-4</v>
      </c>
      <c r="C248" s="182"/>
      <c r="D248" s="182"/>
      <c r="E248" s="182"/>
      <c r="F248" s="182"/>
      <c r="G248" s="182"/>
      <c r="H248" s="182"/>
      <c r="I248" s="182"/>
      <c r="J248" s="182"/>
      <c r="K248" s="182"/>
      <c r="L248" s="182"/>
      <c r="M248" s="182"/>
      <c r="N248" s="182"/>
      <c r="O248" s="182"/>
      <c r="P248" s="182"/>
      <c r="Q248" s="182"/>
      <c r="R248" s="182"/>
      <c r="S248" s="182"/>
    </row>
    <row r="249" spans="1:19" x14ac:dyDescent="0.25">
      <c r="A249" s="191" t="s">
        <v>447</v>
      </c>
      <c r="B249" s="192">
        <v>1</v>
      </c>
      <c r="C249" s="182"/>
      <c r="D249" s="182"/>
      <c r="E249" s="182"/>
      <c r="F249" s="182"/>
      <c r="G249" s="182"/>
      <c r="H249" s="182"/>
      <c r="I249" s="182"/>
      <c r="J249" s="182"/>
      <c r="K249" s="182"/>
      <c r="L249" s="182"/>
      <c r="M249" s="182"/>
      <c r="N249" s="182"/>
      <c r="O249" s="182"/>
      <c r="P249" s="182"/>
      <c r="Q249" s="182"/>
      <c r="R249" s="182"/>
      <c r="S249" s="182"/>
    </row>
    <row r="250" spans="1:19" x14ac:dyDescent="0.25">
      <c r="A250" s="191" t="s">
        <v>448</v>
      </c>
      <c r="B250" s="192">
        <v>-5</v>
      </c>
      <c r="C250" s="182"/>
      <c r="D250" s="182"/>
      <c r="E250" s="182"/>
      <c r="F250" s="182"/>
      <c r="G250" s="182"/>
      <c r="H250" s="182"/>
      <c r="I250" s="182"/>
      <c r="J250" s="182"/>
      <c r="K250" s="182"/>
      <c r="L250" s="182"/>
      <c r="M250" s="182"/>
      <c r="N250" s="182"/>
      <c r="O250" s="182"/>
      <c r="P250" s="182"/>
      <c r="Q250" s="182"/>
      <c r="R250" s="182"/>
      <c r="S250" s="182"/>
    </row>
    <row r="251" spans="1:19" x14ac:dyDescent="0.25">
      <c r="A251" s="191" t="s">
        <v>449</v>
      </c>
      <c r="B251" s="192">
        <v>5</v>
      </c>
      <c r="C251" s="182"/>
      <c r="D251" s="182"/>
      <c r="E251" s="182"/>
      <c r="F251" s="182"/>
      <c r="G251" s="182"/>
      <c r="H251" s="182"/>
      <c r="I251" s="182"/>
      <c r="J251" s="182"/>
      <c r="K251" s="182"/>
      <c r="L251" s="182"/>
      <c r="M251" s="182"/>
      <c r="N251" s="182"/>
      <c r="O251" s="182"/>
      <c r="P251" s="182"/>
      <c r="Q251" s="182"/>
      <c r="R251" s="182"/>
      <c r="S251" s="182"/>
    </row>
    <row r="252" spans="1:19" x14ac:dyDescent="0.25">
      <c r="A252" s="191" t="s">
        <v>450</v>
      </c>
      <c r="B252" s="192">
        <v>2</v>
      </c>
      <c r="C252" s="182"/>
      <c r="D252" s="182"/>
      <c r="E252" s="182"/>
      <c r="F252" s="182"/>
      <c r="G252" s="182"/>
      <c r="H252" s="182"/>
      <c r="I252" s="182"/>
      <c r="J252" s="182"/>
      <c r="K252" s="182"/>
      <c r="L252" s="182"/>
      <c r="M252" s="182"/>
      <c r="N252" s="182"/>
      <c r="O252" s="182"/>
      <c r="P252" s="182"/>
      <c r="Q252" s="182"/>
      <c r="R252" s="182"/>
      <c r="S252" s="182"/>
    </row>
    <row r="253" spans="1:19" x14ac:dyDescent="0.25">
      <c r="A253" s="191" t="s">
        <v>451</v>
      </c>
      <c r="B253" s="192">
        <v>12</v>
      </c>
      <c r="C253" s="182"/>
      <c r="D253" s="182"/>
      <c r="E253" s="182"/>
      <c r="F253" s="182"/>
      <c r="G253" s="182"/>
      <c r="H253" s="182"/>
      <c r="I253" s="182"/>
      <c r="J253" s="182"/>
      <c r="K253" s="182"/>
      <c r="L253" s="182"/>
      <c r="M253" s="182"/>
      <c r="N253" s="182"/>
      <c r="O253" s="182"/>
      <c r="P253" s="182"/>
      <c r="Q253" s="182"/>
      <c r="R253" s="182"/>
      <c r="S253" s="182"/>
    </row>
    <row r="254" spans="1:19" x14ac:dyDescent="0.25">
      <c r="A254" s="191" t="s">
        <v>452</v>
      </c>
      <c r="B254" s="192">
        <v>2</v>
      </c>
      <c r="C254" s="182"/>
      <c r="D254" s="182"/>
      <c r="E254" s="182"/>
      <c r="F254" s="182"/>
      <c r="G254" s="182"/>
      <c r="H254" s="182"/>
      <c r="I254" s="182"/>
      <c r="J254" s="182"/>
      <c r="K254" s="182"/>
      <c r="L254" s="182"/>
      <c r="M254" s="182"/>
      <c r="N254" s="182"/>
      <c r="O254" s="182"/>
      <c r="P254" s="182"/>
      <c r="Q254" s="182"/>
      <c r="R254" s="182"/>
      <c r="S254" s="182"/>
    </row>
    <row r="255" spans="1:19" x14ac:dyDescent="0.25">
      <c r="A255" s="191" t="s">
        <v>453</v>
      </c>
      <c r="B255" s="192">
        <v>3</v>
      </c>
      <c r="C255" s="182"/>
      <c r="D255" s="182"/>
      <c r="E255" s="182"/>
      <c r="F255" s="182"/>
      <c r="G255" s="182"/>
      <c r="H255" s="182"/>
      <c r="I255" s="182"/>
      <c r="J255" s="182"/>
      <c r="K255" s="182"/>
      <c r="L255" s="182"/>
      <c r="M255" s="182"/>
      <c r="N255" s="182"/>
      <c r="O255" s="182"/>
      <c r="P255" s="182"/>
      <c r="Q255" s="182"/>
      <c r="R255" s="182"/>
      <c r="S255" s="182"/>
    </row>
    <row r="256" spans="1:19" x14ac:dyDescent="0.25">
      <c r="A256" s="191" t="s">
        <v>454</v>
      </c>
      <c r="B256" s="192">
        <v>-3</v>
      </c>
      <c r="C256" s="182"/>
      <c r="D256" s="182"/>
      <c r="E256" s="182"/>
      <c r="F256" s="182"/>
      <c r="G256" s="182"/>
      <c r="H256" s="182"/>
      <c r="I256" s="182"/>
      <c r="J256" s="182"/>
      <c r="K256" s="182"/>
      <c r="L256" s="182"/>
      <c r="M256" s="182"/>
      <c r="N256" s="182"/>
      <c r="O256" s="182"/>
      <c r="P256" s="182"/>
      <c r="Q256" s="182"/>
      <c r="R256" s="182"/>
      <c r="S256" s="182"/>
    </row>
    <row r="257" spans="1:19" x14ac:dyDescent="0.25">
      <c r="A257" s="191" t="s">
        <v>455</v>
      </c>
      <c r="B257" s="192">
        <v>5</v>
      </c>
      <c r="C257" s="182"/>
      <c r="D257" s="182"/>
      <c r="E257" s="182"/>
      <c r="F257" s="182"/>
      <c r="G257" s="182"/>
      <c r="H257" s="182"/>
      <c r="I257" s="182"/>
      <c r="J257" s="182"/>
      <c r="K257" s="182"/>
      <c r="L257" s="182"/>
      <c r="M257" s="182"/>
      <c r="N257" s="182"/>
      <c r="O257" s="182"/>
      <c r="P257" s="182"/>
      <c r="Q257" s="182"/>
      <c r="R257" s="182"/>
      <c r="S257" s="182"/>
    </row>
    <row r="258" spans="1:19" x14ac:dyDescent="0.25">
      <c r="A258" s="191" t="s">
        <v>456</v>
      </c>
      <c r="B258" s="192">
        <v>11</v>
      </c>
      <c r="C258" s="182"/>
      <c r="D258" s="182"/>
      <c r="E258" s="182"/>
      <c r="F258" s="182"/>
      <c r="G258" s="182"/>
      <c r="H258" s="182"/>
      <c r="I258" s="182"/>
      <c r="J258" s="182"/>
      <c r="K258" s="182"/>
      <c r="L258" s="182"/>
      <c r="M258" s="182"/>
      <c r="N258" s="182"/>
      <c r="O258" s="182"/>
      <c r="P258" s="182"/>
      <c r="Q258" s="182"/>
      <c r="R258" s="182"/>
      <c r="S258" s="182"/>
    </row>
    <row r="259" spans="1:19" x14ac:dyDescent="0.25">
      <c r="A259" s="191" t="s">
        <v>14</v>
      </c>
      <c r="B259" s="192">
        <v>-4.5</v>
      </c>
      <c r="C259" s="182"/>
      <c r="D259" s="182"/>
      <c r="E259" s="182"/>
      <c r="F259" s="182"/>
      <c r="G259" s="182"/>
      <c r="H259" s="182"/>
      <c r="I259" s="182"/>
      <c r="J259" s="182"/>
      <c r="K259" s="182"/>
      <c r="L259" s="182"/>
      <c r="M259" s="182"/>
      <c r="N259" s="182"/>
      <c r="O259" s="182"/>
      <c r="P259" s="182"/>
      <c r="Q259" s="182"/>
      <c r="R259" s="182"/>
      <c r="S259" s="182"/>
    </row>
    <row r="260" spans="1:19" x14ac:dyDescent="0.25">
      <c r="A260" s="191" t="s">
        <v>457</v>
      </c>
      <c r="B260" s="192">
        <v>7</v>
      </c>
      <c r="C260" s="182"/>
      <c r="D260" s="182"/>
      <c r="E260" s="182"/>
      <c r="F260" s="182"/>
      <c r="G260" s="182"/>
      <c r="H260" s="182"/>
      <c r="I260" s="182"/>
      <c r="J260" s="182"/>
      <c r="K260" s="182"/>
      <c r="L260" s="182"/>
      <c r="M260" s="182"/>
      <c r="N260" s="182"/>
      <c r="O260" s="182"/>
      <c r="P260" s="182"/>
      <c r="Q260" s="182"/>
      <c r="R260" s="182"/>
      <c r="S260" s="182"/>
    </row>
    <row r="261" spans="1:19" x14ac:dyDescent="0.25">
      <c r="A261" s="191" t="s">
        <v>458</v>
      </c>
      <c r="B261" s="192">
        <v>12</v>
      </c>
      <c r="C261" s="182"/>
      <c r="D261" s="182"/>
      <c r="E261" s="182"/>
      <c r="F261" s="182"/>
      <c r="G261" s="182"/>
      <c r="H261" s="182"/>
      <c r="I261" s="182"/>
      <c r="J261" s="182"/>
      <c r="K261" s="182"/>
      <c r="L261" s="182"/>
      <c r="M261" s="182"/>
      <c r="N261" s="182"/>
      <c r="O261" s="182"/>
      <c r="P261" s="182"/>
      <c r="Q261" s="182"/>
      <c r="R261" s="182"/>
      <c r="S261" s="182"/>
    </row>
    <row r="262" spans="1:19" x14ac:dyDescent="0.25">
      <c r="A262" s="191" t="s">
        <v>459</v>
      </c>
      <c r="B262" s="192">
        <v>3</v>
      </c>
      <c r="C262" s="182"/>
      <c r="D262" s="182"/>
      <c r="E262" s="182"/>
      <c r="F262" s="182"/>
      <c r="G262" s="182"/>
      <c r="H262" s="182"/>
      <c r="I262" s="182"/>
      <c r="J262" s="182"/>
      <c r="K262" s="182"/>
      <c r="L262" s="182"/>
      <c r="M262" s="182"/>
      <c r="N262" s="182"/>
      <c r="O262" s="182"/>
      <c r="P262" s="182"/>
      <c r="Q262" s="182"/>
      <c r="R262" s="182"/>
      <c r="S262" s="182"/>
    </row>
    <row r="263" spans="1:19" x14ac:dyDescent="0.25">
      <c r="A263" s="191" t="s">
        <v>460</v>
      </c>
      <c r="B263" s="192">
        <v>3</v>
      </c>
      <c r="C263" s="182"/>
      <c r="D263" s="182"/>
      <c r="E263" s="182"/>
      <c r="F263" s="182"/>
      <c r="G263" s="182"/>
      <c r="H263" s="182"/>
      <c r="I263" s="182"/>
      <c r="J263" s="182"/>
      <c r="K263" s="182"/>
      <c r="L263" s="182"/>
      <c r="M263" s="182"/>
      <c r="N263" s="182"/>
      <c r="O263" s="182"/>
      <c r="P263" s="182"/>
      <c r="Q263" s="182"/>
      <c r="R263" s="182"/>
      <c r="S263" s="182"/>
    </row>
    <row r="264" spans="1:19" x14ac:dyDescent="0.25">
      <c r="A264" s="191" t="s">
        <v>461</v>
      </c>
      <c r="B264" s="192">
        <v>2</v>
      </c>
      <c r="C264" s="182"/>
      <c r="D264" s="182"/>
      <c r="E264" s="182"/>
      <c r="F264" s="182"/>
      <c r="G264" s="182"/>
      <c r="H264" s="182"/>
      <c r="I264" s="182"/>
      <c r="J264" s="182"/>
      <c r="K264" s="182"/>
      <c r="L264" s="182"/>
      <c r="M264" s="182"/>
      <c r="N264" s="182"/>
      <c r="O264" s="182"/>
      <c r="P264" s="182"/>
      <c r="Q264" s="182"/>
      <c r="R264" s="182"/>
      <c r="S264" s="182"/>
    </row>
    <row r="265" spans="1:19" x14ac:dyDescent="0.25">
      <c r="A265" s="191" t="s">
        <v>462</v>
      </c>
      <c r="B265" s="192">
        <v>2</v>
      </c>
      <c r="C265" s="182"/>
      <c r="D265" s="182"/>
      <c r="E265" s="182"/>
      <c r="F265" s="182"/>
      <c r="G265" s="182"/>
      <c r="H265" s="182"/>
      <c r="I265" s="182"/>
      <c r="J265" s="182"/>
      <c r="K265" s="182"/>
      <c r="L265" s="182"/>
      <c r="M265" s="182"/>
      <c r="N265" s="182"/>
      <c r="O265" s="182"/>
      <c r="P265" s="182"/>
      <c r="Q265" s="182"/>
      <c r="R265" s="182"/>
      <c r="S265" s="182"/>
    </row>
    <row r="266" spans="1:19" x14ac:dyDescent="0.25">
      <c r="A266" s="191"/>
      <c r="B266" s="187"/>
      <c r="C266" s="182"/>
      <c r="D266" s="188"/>
      <c r="E266" s="190"/>
      <c r="F266" s="183"/>
      <c r="G266" s="183"/>
      <c r="H266" s="183"/>
      <c r="I266" s="183"/>
      <c r="J266" s="183"/>
      <c r="K266" s="182"/>
      <c r="L266" s="190"/>
      <c r="M266" s="183"/>
      <c r="N266" s="182"/>
      <c r="O266" s="182"/>
      <c r="P266" s="185"/>
      <c r="Q266" s="182"/>
      <c r="R266" s="182"/>
      <c r="S266" s="182"/>
    </row>
  </sheetData>
  <phoneticPr fontId="108" type="noConversion"/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lculos"/>
  <dimension ref="A1:BN65"/>
  <sheetViews>
    <sheetView workbookViewId="0">
      <selection activeCell="AF19" sqref="AF19"/>
    </sheetView>
  </sheetViews>
  <sheetFormatPr defaultColWidth="11.42578125" defaultRowHeight="15" x14ac:dyDescent="0.2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 x14ac:dyDescent="0.25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 x14ac:dyDescent="0.25">
      <c r="A2" s="198" t="str">
        <f>Quiniela!B16</f>
        <v>Brasil</v>
      </c>
      <c r="B2" s="198">
        <f>IF(Quiniela!C16="","",Quiniela!C16)</f>
        <v>3</v>
      </c>
      <c r="C2" s="198" t="s">
        <v>24</v>
      </c>
      <c r="D2" s="198">
        <f>IF(Quiniela!E16="","",Quiniela!E16)</f>
        <v>1</v>
      </c>
      <c r="E2" s="198" t="str">
        <f>Quiniela!F16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194" t="s">
        <v>479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2</v>
      </c>
      <c r="AZ2" s="195">
        <f>VLOOKUP($AX2,$J$2:$S$62,3,FALSE)+COUNTIF($AH$4:$AH$19,$AX2)</f>
        <v>1</v>
      </c>
      <c r="BA2" s="197">
        <f>ROUND(IF($AY2=0,0,AZ2/$AY2),1)</f>
        <v>0.5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3</v>
      </c>
      <c r="BG2" s="197">
        <f>ROUND(IF($AY2=0,0,BF2/$AY2),1)</f>
        <v>1.5</v>
      </c>
      <c r="BH2" s="195">
        <f>VLOOKUP($AX2,$J$2:$S$62,6,FALSE)+SUMIF($V$4:$V$19,$AX2,$W$4:$W$19)+SUMIF($AA$4:$AA$19,$AX2,$Z$4:$Z$19)</f>
        <v>3</v>
      </c>
      <c r="BI2" s="197">
        <f>ROUND(IF($AY2=0,0,BH2/$AY2),1)</f>
        <v>1.5</v>
      </c>
      <c r="BJ2" s="195">
        <f>VLOOKUP($AX2,$J$2:$S$62,7,FALSE)+SUMIF($V$4:$V$19,$AX2,$Z$4:$Z$19)+SUMIF($AA$4:$AA$19,$AX2,$W$4:$W$19)</f>
        <v>1</v>
      </c>
      <c r="BK2" s="197">
        <f>ROUND(IF($AY2=0,0,BJ2/$AY2),1)</f>
        <v>0.5</v>
      </c>
      <c r="BL2" s="195">
        <f>BH2-BJ2</f>
        <v>2</v>
      </c>
      <c r="BM2" s="197">
        <f>ROUND(IF($AY2=0,0,BL2/$AY2),1)</f>
        <v>1</v>
      </c>
      <c r="BN2" s="197"/>
    </row>
    <row r="3" spans="1:66" ht="12.95" customHeight="1" x14ac:dyDescent="0.25">
      <c r="A3" s="198" t="str">
        <f>Quiniela!B17</f>
        <v>México</v>
      </c>
      <c r="B3" s="198" t="str">
        <f>IF(Quiniela!C17="","",Quiniela!C17)</f>
        <v/>
      </c>
      <c r="C3" s="198" t="s">
        <v>24</v>
      </c>
      <c r="D3" s="198" t="str">
        <f>IF(Quiniela!E17="","",Quiniela!E17)</f>
        <v/>
      </c>
      <c r="E3" s="198" t="str">
        <f>Quiniela!F17</f>
        <v>Camerún</v>
      </c>
      <c r="F3" s="195"/>
      <c r="G3" s="195" t="str">
        <f>A2</f>
        <v>Brasil</v>
      </c>
      <c r="H3" s="195" t="str">
        <f>IF(Quiniela!N16="","",Quiniela!N16)</f>
        <v/>
      </c>
      <c r="I3" s="195"/>
      <c r="J3" s="202" t="str">
        <f t="array" ref="J3:S6">Obtiene_Datos(A2:E7,G3:H6,A1)</f>
        <v>Brasil</v>
      </c>
      <c r="K3" s="198">
        <v>1</v>
      </c>
      <c r="L3" s="198">
        <v>1</v>
      </c>
      <c r="M3" s="198">
        <v>0</v>
      </c>
      <c r="N3" s="198">
        <v>0</v>
      </c>
      <c r="O3" s="198">
        <v>3</v>
      </c>
      <c r="P3" s="198">
        <v>1</v>
      </c>
      <c r="Q3" s="198">
        <v>2</v>
      </c>
      <c r="R3" s="198">
        <v>3</v>
      </c>
      <c r="S3" s="203">
        <v>35203000000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 x14ac:dyDescent="0.25">
      <c r="A4" s="198" t="str">
        <f>Quiniela!B18</f>
        <v>Brasil</v>
      </c>
      <c r="B4" s="198" t="str">
        <f>IF(Quiniela!C18="","",Quiniela!C18)</f>
        <v/>
      </c>
      <c r="C4" s="198" t="s">
        <v>24</v>
      </c>
      <c r="D4" s="198" t="str">
        <f>IF(Quiniela!E18="","",Quiniela!E18)</f>
        <v/>
      </c>
      <c r="E4" s="198" t="str">
        <f>Quiniela!F18</f>
        <v>México</v>
      </c>
      <c r="F4" s="195"/>
      <c r="G4" s="195" t="str">
        <f>E2</f>
        <v>Croacia</v>
      </c>
      <c r="H4" s="195" t="str">
        <f>IF(Quiniela!N17="","",Quiniela!N17)</f>
        <v/>
      </c>
      <c r="I4" s="195"/>
      <c r="J4" s="202" t="str">
        <v>Camerún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Brasil</v>
      </c>
      <c r="W4" s="204" t="str">
        <f>IF(Quiniela!Q16="","",Quiniela!Q16)</f>
        <v/>
      </c>
      <c r="X4" s="204">
        <f>Quiniela!R16</f>
        <v>0</v>
      </c>
      <c r="Y4" s="204">
        <f>Quiniela!T16</f>
        <v>0</v>
      </c>
      <c r="Z4" s="204" t="str">
        <f>IF(Quiniela!U16="","",Quiniela!U16)</f>
        <v/>
      </c>
      <c r="AA4" s="204" t="str">
        <f>IF(K12=0,"2do Grupo B",J12)</f>
        <v>2do Grupo B</v>
      </c>
      <c r="AB4" s="204" t="str">
        <f>Quiniela!X16</f>
        <v>1ero Grupo A</v>
      </c>
      <c r="AC4" s="204" t="str">
        <f>IF(Quiniela!Y16="","",Quiniela!Y16)</f>
        <v/>
      </c>
      <c r="AD4" s="204">
        <f>IF(Quiniela!AG16="","",Quiniela!AG16)</f>
        <v>0</v>
      </c>
      <c r="AE4" s="204">
        <f>IF(Quiniela!AH16="","",Quiniela!AH16)</f>
        <v>0</v>
      </c>
      <c r="AF4" s="204" t="str">
        <f>IF(Quiniela!AA16="","",Quiniela!AA16)</f>
        <v/>
      </c>
      <c r="AG4" s="204" t="str">
        <f>Quiniela!AB16</f>
        <v>2do Grupo B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 t="str">
        <f>IF($AR$1="NO",AC4,SUM(AC4:AD4))</f>
        <v/>
      </c>
      <c r="AW4" s="195" t="str">
        <f>IF($AR$1="NO",AF4,SUM(AE4:AF4))</f>
        <v/>
      </c>
      <c r="AX4" s="201" t="str">
        <f>Config!O3</f>
        <v>Croacia</v>
      </c>
      <c r="AY4" s="195">
        <f t="shared" si="0"/>
        <v>1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1</v>
      </c>
      <c r="BE4" s="197">
        <f t="shared" si="6"/>
        <v>1</v>
      </c>
      <c r="BF4" s="195">
        <f t="shared" si="7"/>
        <v>0</v>
      </c>
      <c r="BG4" s="197">
        <f t="shared" si="8"/>
        <v>0</v>
      </c>
      <c r="BH4" s="195">
        <f t="shared" si="9"/>
        <v>1</v>
      </c>
      <c r="BI4" s="197">
        <f t="shared" si="10"/>
        <v>1</v>
      </c>
      <c r="BJ4" s="195">
        <f t="shared" si="11"/>
        <v>3</v>
      </c>
      <c r="BK4" s="197">
        <f t="shared" si="12"/>
        <v>3</v>
      </c>
      <c r="BL4" s="195">
        <f t="shared" si="13"/>
        <v>-2</v>
      </c>
      <c r="BM4" s="197">
        <f t="shared" si="14"/>
        <v>-2</v>
      </c>
      <c r="BN4" s="197"/>
    </row>
    <row r="5" spans="1:66" ht="12.95" customHeight="1" x14ac:dyDescent="0.25">
      <c r="A5" s="198" t="str">
        <f>Quiniela!B19</f>
        <v>Camerún</v>
      </c>
      <c r="B5" s="198" t="str">
        <f>IF(Quiniela!C19="","",Quiniela!C19)</f>
        <v/>
      </c>
      <c r="C5" s="198" t="s">
        <v>24</v>
      </c>
      <c r="D5" s="198" t="str">
        <f>IF(Quiniela!E19="","",Quiniela!E19)</f>
        <v/>
      </c>
      <c r="E5" s="198" t="str">
        <f>Quiniela!F19</f>
        <v>Croacia</v>
      </c>
      <c r="F5" s="195"/>
      <c r="G5" s="195" t="str">
        <f>A3</f>
        <v>México</v>
      </c>
      <c r="H5" s="195" t="str">
        <f>IF(Quiniela!N18="","",Quiniela!N18)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IF(Quiniela!Q17="","",Quiniela!Q17)</f>
        <v/>
      </c>
      <c r="X5" s="204">
        <f>Quiniela!R17</f>
        <v>0</v>
      </c>
      <c r="Y5" s="204">
        <f>Quiniela!T17</f>
        <v>0</v>
      </c>
      <c r="Z5" s="204" t="str">
        <f>IF(Quiniela!U17="","",Quiniela!U17)</f>
        <v/>
      </c>
      <c r="AA5" s="204" t="str">
        <f>IF(K28=0,"2do Grupo D",J28)</f>
        <v>2do Grupo D</v>
      </c>
      <c r="AB5" s="204" t="str">
        <f>Quiniela!X17</f>
        <v>1ero Grupo C</v>
      </c>
      <c r="AC5" s="204" t="str">
        <f>IF(Quiniela!Y17="","",Quiniela!Y17)</f>
        <v/>
      </c>
      <c r="AD5" s="204">
        <f>IF(Quiniela!AG17="","",Quiniela!AG17)</f>
        <v>0</v>
      </c>
      <c r="AE5" s="204">
        <f>IF(Quiniela!AH17="","",Quiniela!AH17)</f>
        <v>0</v>
      </c>
      <c r="AF5" s="204" t="str">
        <f>IF(Quiniela!AA17="","",Quiniela!AA17)</f>
        <v/>
      </c>
      <c r="AG5" s="204" t="str">
        <f>Quiniela!AB17</f>
        <v>2do Grupo D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>
        <f t="array" ref="AJ5">MATCH(AB5 &amp; AG5,$V$4:$V$11 &amp; $AA$4:$AA$11,0)</f>
        <v>2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 t="str">
        <f t="shared" ref="AV5:AV19" si="23">IF($AR$1="NO",AC5,SUM(AC5:AD5))</f>
        <v/>
      </c>
      <c r="AW5" s="195" t="str">
        <f t="shared" ref="AW5:AW19" si="24">IF($AR$1="NO",AF5,SUM(AE5:AF5))</f>
        <v/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 x14ac:dyDescent="0.25">
      <c r="A6" s="198" t="str">
        <f>Quiniela!B20</f>
        <v>Croacia</v>
      </c>
      <c r="B6" s="198" t="str">
        <f>IF(Quiniela!C20="","",Quiniela!C20)</f>
        <v/>
      </c>
      <c r="C6" s="198" t="s">
        <v>24</v>
      </c>
      <c r="D6" s="198" t="str">
        <f>IF(Quiniela!E20="","",Quiniela!E20)</f>
        <v/>
      </c>
      <c r="E6" s="198" t="str">
        <f>Quiniela!F20</f>
        <v>México</v>
      </c>
      <c r="F6" s="195"/>
      <c r="G6" s="195" t="str">
        <f>E3</f>
        <v>Camerún</v>
      </c>
      <c r="H6" s="195" t="str">
        <f>IF(Quiniela!N19="","",Quiniela!N19)</f>
        <v/>
      </c>
      <c r="I6" s="195"/>
      <c r="J6" s="202" t="str">
        <v>Croacia</v>
      </c>
      <c r="K6" s="198">
        <v>1</v>
      </c>
      <c r="L6" s="198">
        <v>0</v>
      </c>
      <c r="M6" s="198">
        <v>0</v>
      </c>
      <c r="N6" s="198">
        <v>1</v>
      </c>
      <c r="O6" s="198">
        <v>1</v>
      </c>
      <c r="P6" s="198">
        <v>3</v>
      </c>
      <c r="Q6" s="198">
        <v>-2</v>
      </c>
      <c r="R6" s="198">
        <v>0</v>
      </c>
      <c r="S6" s="203">
        <v>4801000000</v>
      </c>
      <c r="T6" s="196"/>
      <c r="U6" s="204">
        <v>51</v>
      </c>
      <c r="V6" s="204" t="str">
        <f>IF(K11=0,"1ero Grupo B",J11)</f>
        <v>1ero Grupo B</v>
      </c>
      <c r="W6" s="204" t="str">
        <f>IF(Quiniela!Q18="","",Quiniela!Q18)</f>
        <v/>
      </c>
      <c r="X6" s="204">
        <f>Quiniela!R18</f>
        <v>0</v>
      </c>
      <c r="Y6" s="204">
        <f>Quiniela!T18</f>
        <v>0</v>
      </c>
      <c r="Z6" s="204" t="str">
        <f>IF(Quiniela!U18="","",Quiniela!U18)</f>
        <v/>
      </c>
      <c r="AA6" s="204" t="str">
        <f>IF(K4=0,"2do Grupo A",J4)</f>
        <v>2do Grupo A</v>
      </c>
      <c r="AB6" s="204" t="str">
        <f>Quiniela!X18</f>
        <v>1ero Grupo B</v>
      </c>
      <c r="AC6" s="204" t="str">
        <f>IF(Quiniela!Y18="","",Quiniela!Y18)</f>
        <v/>
      </c>
      <c r="AD6" s="204">
        <f>IF(Quiniela!AG18="","",Quiniela!AG18)</f>
        <v>0</v>
      </c>
      <c r="AE6" s="204">
        <f>IF(Quiniela!AH18="","",Quiniela!AH18)</f>
        <v>0</v>
      </c>
      <c r="AF6" s="204" t="str">
        <f>IF(Quiniela!AA18="","",Quiniela!AA18)</f>
        <v/>
      </c>
      <c r="AG6" s="204" t="str">
        <f>Quiniela!AB18</f>
        <v>2do Grupo A</v>
      </c>
      <c r="AH6" s="204" t="str">
        <f t="shared" si="16"/>
        <v/>
      </c>
      <c r="AI6" s="204" t="str">
        <f>IF(SUM($W6:$X6)&gt;SUM($Y6:$Z6),AA6,IF(SUM($W6:$X6)&lt;SUM($Y6:$Z6),V6,""))</f>
        <v/>
      </c>
      <c r="AJ6" s="196">
        <f t="array" ref="AJ6">MATCH(AB6 &amp; AG6,$V$4:$V$11 &amp; $AA$4:$AA$11,0)</f>
        <v>3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 t="str">
        <f t="shared" si="23"/>
        <v/>
      </c>
      <c r="AW6" s="195" t="str">
        <f t="shared" si="24"/>
        <v/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 x14ac:dyDescent="0.25">
      <c r="A7" s="198" t="str">
        <f>Quiniela!B21</f>
        <v>Camerún</v>
      </c>
      <c r="B7" s="198" t="str">
        <f>IF(Quiniela!C21="","",Quiniela!C21)</f>
        <v/>
      </c>
      <c r="C7" s="198" t="s">
        <v>24</v>
      </c>
      <c r="D7" s="198" t="str">
        <f>IF(Quiniela!E21="","",Quiniela!E21)</f>
        <v/>
      </c>
      <c r="E7" s="198" t="str">
        <f>Quiniela!F21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IF(Quiniela!Q19="","",Quiniela!Q19)</f>
        <v/>
      </c>
      <c r="X7" s="204">
        <f>Quiniela!R19</f>
        <v>0</v>
      </c>
      <c r="Y7" s="204">
        <f>Quiniela!T19</f>
        <v>0</v>
      </c>
      <c r="Z7" s="204" t="str">
        <f>IF(Quiniela!U19="","",Quiniela!U19)</f>
        <v/>
      </c>
      <c r="AA7" s="204" t="str">
        <f>IF(K20=0,"2do Grupo C",J20)</f>
        <v>2do Grupo C</v>
      </c>
      <c r="AB7" s="204" t="str">
        <f>Quiniela!X19</f>
        <v>1ero Grupo D</v>
      </c>
      <c r="AC7" s="204" t="str">
        <f>IF(Quiniela!Y19="","",Quiniela!Y19)</f>
        <v/>
      </c>
      <c r="AD7" s="204">
        <f>IF(Quiniela!AG19="","",Quiniela!AG19)</f>
        <v>0</v>
      </c>
      <c r="AE7" s="204">
        <f>IF(Quiniela!AH19="","",Quiniela!AH19)</f>
        <v>0</v>
      </c>
      <c r="AF7" s="204" t="str">
        <f>IF(Quiniela!AA19="","",Quiniela!AA19)</f>
        <v/>
      </c>
      <c r="AG7" s="204" t="str">
        <f>Quiniela!AB19</f>
        <v>2do Grupo C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>
        <f t="array" ref="AJ7">MATCH(AB7 &amp; AG7,$V$4:$V$11 &amp; $AA$4:$AA$11,0)</f>
        <v>4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 t="str">
        <f t="shared" si="23"/>
        <v/>
      </c>
      <c r="AW7" s="195" t="str">
        <f t="shared" si="24"/>
        <v/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 x14ac:dyDescent="0.25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IF(Quiniela!Q20="","",Quiniela!Q20)</f>
        <v/>
      </c>
      <c r="X8" s="204">
        <f>Quiniela!R20</f>
        <v>0</v>
      </c>
      <c r="Y8" s="204">
        <f>Quiniela!T20</f>
        <v>0</v>
      </c>
      <c r="Z8" s="204" t="str">
        <f>IF(Quiniela!U20="","",Quiniela!U20)</f>
        <v/>
      </c>
      <c r="AA8" s="204" t="str">
        <f>IF(K44=0,"2do Grupo F",J44)</f>
        <v>2do Grupo F</v>
      </c>
      <c r="AB8" s="204" t="str">
        <f>Quiniela!X20</f>
        <v>1ero Grupo E</v>
      </c>
      <c r="AC8" s="204" t="str">
        <f>IF(Quiniela!Y20="","",Quiniela!Y20)</f>
        <v/>
      </c>
      <c r="AD8" s="204">
        <f>IF(Quiniela!AG20="","",Quiniela!AG20)</f>
        <v>0</v>
      </c>
      <c r="AE8" s="204">
        <f>IF(Quiniela!AH20="","",Quiniela!AH20)</f>
        <v>0</v>
      </c>
      <c r="AF8" s="204" t="str">
        <f>IF(Quiniela!AA20="","",Quiniela!AA20)</f>
        <v/>
      </c>
      <c r="AG8" s="204" t="str">
        <f>Quiniela!AB20</f>
        <v>2do Grupo F</v>
      </c>
      <c r="AH8" s="204" t="str">
        <f t="shared" si="16"/>
        <v/>
      </c>
      <c r="AI8" s="204" t="str">
        <f t="shared" si="26"/>
        <v/>
      </c>
      <c r="AJ8" s="196">
        <f t="array" ref="AJ8">MATCH(AB8 &amp; AG8,$V$4:$V$11 &amp; $AA$4:$AA$11,0)</f>
        <v>5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 t="str">
        <f t="shared" si="23"/>
        <v/>
      </c>
      <c r="AW8" s="195" t="str">
        <f t="shared" si="24"/>
        <v/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 x14ac:dyDescent="0.25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IF(Quiniela!Q21="","",Quiniela!Q21)</f>
        <v/>
      </c>
      <c r="X9" s="204">
        <f>Quiniela!R21</f>
        <v>0</v>
      </c>
      <c r="Y9" s="204">
        <f>Quiniela!T21</f>
        <v>0</v>
      </c>
      <c r="Z9" s="204" t="str">
        <f>IF(Quiniela!U21="","",Quiniela!U21)</f>
        <v/>
      </c>
      <c r="AA9" s="204" t="str">
        <f>IF(K60=0,"2do Grupo H",J60)</f>
        <v>2do Grupo H</v>
      </c>
      <c r="AB9" s="204" t="str">
        <f>Quiniela!X21</f>
        <v>1ero Grupo G</v>
      </c>
      <c r="AC9" s="204" t="str">
        <f>IF(Quiniela!Y21="","",Quiniela!Y21)</f>
        <v/>
      </c>
      <c r="AD9" s="204">
        <f>IF(Quiniela!AG21="","",Quiniela!AG21)</f>
        <v>0</v>
      </c>
      <c r="AE9" s="204">
        <f>IF(Quiniela!AH21="","",Quiniela!AH21)</f>
        <v>0</v>
      </c>
      <c r="AF9" s="204" t="str">
        <f>IF(Quiniela!AA21="","",Quiniela!AA21)</f>
        <v/>
      </c>
      <c r="AG9" s="204" t="str">
        <f>Quiniela!AB21</f>
        <v>2do Grupo H</v>
      </c>
      <c r="AH9" s="204" t="str">
        <f t="shared" si="16"/>
        <v/>
      </c>
      <c r="AI9" s="204" t="str">
        <f t="shared" si="26"/>
        <v/>
      </c>
      <c r="AJ9" s="196">
        <f t="array" ref="AJ9">MATCH(AB9 &amp; AG9,$V$4:$V$11 &amp; $AA$4:$AA$11,0)</f>
        <v>6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 t="str">
        <f t="shared" si="23"/>
        <v/>
      </c>
      <c r="AW9" s="195" t="str">
        <f t="shared" si="24"/>
        <v/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 x14ac:dyDescent="0.25">
      <c r="A10" s="198" t="str">
        <f>Quiniela!B27</f>
        <v>España</v>
      </c>
      <c r="B10" s="198" t="str">
        <f>IF(Quiniela!C27="","",Quiniela!C27)</f>
        <v/>
      </c>
      <c r="C10" s="198" t="s">
        <v>24</v>
      </c>
      <c r="D10" s="198" t="str">
        <f>IF(Quiniela!E27="","",Quiniela!E27)</f>
        <v/>
      </c>
      <c r="E10" s="198" t="str">
        <f>Quiniela!F27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IF(Quiniela!Q22="","",Quiniela!Q22)</f>
        <v/>
      </c>
      <c r="X10" s="204">
        <f>Quiniela!R22</f>
        <v>0</v>
      </c>
      <c r="Y10" s="204">
        <f>Quiniela!T22</f>
        <v>0</v>
      </c>
      <c r="Z10" s="204" t="str">
        <f>IF(Quiniela!U22="","",Quiniela!U22)</f>
        <v/>
      </c>
      <c r="AA10" s="204" t="str">
        <f>IF(K36=0,"2do Grupo E",J36)</f>
        <v>2do Grupo E</v>
      </c>
      <c r="AB10" s="204" t="str">
        <f>Quiniela!X22</f>
        <v>1ero Grupo F</v>
      </c>
      <c r="AC10" s="204" t="str">
        <f>IF(Quiniela!Y22="","",Quiniela!Y22)</f>
        <v/>
      </c>
      <c r="AD10" s="204">
        <f>IF(Quiniela!AG22="","",Quiniela!AG22)</f>
        <v>0</v>
      </c>
      <c r="AE10" s="204">
        <f>IF(Quiniela!AH22="","",Quiniela!AH22)</f>
        <v>0</v>
      </c>
      <c r="AF10" s="204" t="str">
        <f>IF(Quiniela!AA22="","",Quiniela!AA22)</f>
        <v/>
      </c>
      <c r="AG10" s="204" t="str">
        <f>Quiniela!AB22</f>
        <v>2do Grupo E</v>
      </c>
      <c r="AH10" s="204" t="str">
        <f t="shared" si="16"/>
        <v/>
      </c>
      <c r="AI10" s="204" t="str">
        <f t="shared" si="26"/>
        <v/>
      </c>
      <c r="AJ10" s="196">
        <f t="array" ref="AJ10">MATCH(AB10 &amp; AG10,$V$4:$V$11 &amp; $AA$4:$AA$11,0)</f>
        <v>7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 t="str">
        <f t="shared" si="23"/>
        <v/>
      </c>
      <c r="AW10" s="195" t="str">
        <f t="shared" si="24"/>
        <v/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 x14ac:dyDescent="0.25">
      <c r="A11" s="198" t="str">
        <f>Quiniela!B28</f>
        <v>Chile</v>
      </c>
      <c r="B11" s="198" t="str">
        <f>IF(Quiniela!C28="","",Quiniela!C28)</f>
        <v/>
      </c>
      <c r="C11" s="198" t="s">
        <v>24</v>
      </c>
      <c r="D11" s="198" t="str">
        <f>IF(Quiniela!E28="","",Quiniela!E28)</f>
        <v/>
      </c>
      <c r="E11" s="198" t="str">
        <f>Quiniela!F28</f>
        <v>Australia</v>
      </c>
      <c r="F11" s="195"/>
      <c r="G11" s="195" t="str">
        <f>A10</f>
        <v>España</v>
      </c>
      <c r="H11" s="195" t="str">
        <f>IF(Quiniela!N27="","",Quiniela!N27)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IF(Quiniela!Q23="","",Quiniela!Q23)</f>
        <v/>
      </c>
      <c r="X11" s="204">
        <f>Quiniela!R23</f>
        <v>0</v>
      </c>
      <c r="Y11" s="204">
        <f>Quiniela!T23</f>
        <v>0</v>
      </c>
      <c r="Z11" s="204" t="str">
        <f>IF(Quiniela!U23="","",Quiniela!U23)</f>
        <v/>
      </c>
      <c r="AA11" s="204" t="str">
        <f>IF(K52=0,"2do Grupo G",J52)</f>
        <v>2do Grupo G</v>
      </c>
      <c r="AB11" s="204" t="str">
        <f>Quiniela!X23</f>
        <v>1ero Grupo H</v>
      </c>
      <c r="AC11" s="204" t="str">
        <f>IF(Quiniela!Y23="","",Quiniela!Y23)</f>
        <v/>
      </c>
      <c r="AD11" s="204">
        <f>IF(Quiniela!AG23="","",Quiniela!AG23)</f>
        <v>0</v>
      </c>
      <c r="AE11" s="204">
        <f>IF(Quiniela!AH23="","",Quiniela!AH23)</f>
        <v>0</v>
      </c>
      <c r="AF11" s="204" t="str">
        <f>IF(Quiniela!AA23="","",Quiniela!AA23)</f>
        <v/>
      </c>
      <c r="AG11" s="204" t="str">
        <f>Quiniela!AB23</f>
        <v>2do Grupo G</v>
      </c>
      <c r="AH11" s="204" t="str">
        <f t="shared" si="16"/>
        <v/>
      </c>
      <c r="AI11" s="204" t="str">
        <f t="shared" si="26"/>
        <v/>
      </c>
      <c r="AJ11" s="196">
        <f t="array" ref="AJ11">MATCH(AB11 &amp; AG11,$V$4:$V$11 &amp; $AA$4:$AA$11,0)</f>
        <v>8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 t="str">
        <f t="shared" si="23"/>
        <v/>
      </c>
      <c r="AW11" s="195" t="str">
        <f t="shared" si="24"/>
        <v/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 x14ac:dyDescent="0.25">
      <c r="A12" s="198" t="str">
        <f>Quiniela!B29</f>
        <v>Australia</v>
      </c>
      <c r="B12" s="198" t="str">
        <f>IF(Quiniela!C29="","",Quiniela!C29)</f>
        <v/>
      </c>
      <c r="C12" s="198" t="s">
        <v>24</v>
      </c>
      <c r="D12" s="198" t="str">
        <f>IF(Quiniela!E29="","",Quiniela!E29)</f>
        <v/>
      </c>
      <c r="E12" s="198" t="str">
        <f>Quiniela!F29</f>
        <v>Países Bajos</v>
      </c>
      <c r="F12" s="195"/>
      <c r="G12" s="195" t="str">
        <f>E10</f>
        <v>Países Bajos</v>
      </c>
      <c r="H12" s="195" t="str">
        <f>IF(Quiniela!N28="","",Quiniela!N28)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IF(Quiniela!Q30="","",Quiniela!Q30)</f>
        <v/>
      </c>
      <c r="X12" s="195">
        <f>Quiniela!R30</f>
        <v>0</v>
      </c>
      <c r="Y12" s="195">
        <f>Quiniela!T30</f>
        <v>0</v>
      </c>
      <c r="Z12" s="195" t="str">
        <f>IF(Quiniela!U30="","",Quiniela!U30)</f>
        <v/>
      </c>
      <c r="AA12" s="195" t="str">
        <f>IF(OR(W5="",Z5=""),"OF2",IF((W5+X5)&gt;(Y5+Z5),V5,AA5))</f>
        <v>OF2</v>
      </c>
      <c r="AB12" s="195" t="str">
        <f>Quiniela!X30</f>
        <v>OF1</v>
      </c>
      <c r="AC12" s="195" t="str">
        <f>IF(Quiniela!Y30="","",Quiniela!Y30)</f>
        <v/>
      </c>
      <c r="AD12" s="195">
        <f>IF(Quiniela!AG30="","",Quiniela!AG30)</f>
        <v>0</v>
      </c>
      <c r="AE12" s="195">
        <f>IF(Quiniela!AH30="","",Quiniela!AH30)</f>
        <v>0</v>
      </c>
      <c r="AF12" s="195" t="str">
        <f>IF(Quiniela!AA30="","",Quiniela!AA30)</f>
        <v/>
      </c>
      <c r="AG12" s="195" t="str">
        <f>Quiniela!AB30</f>
        <v>OF2</v>
      </c>
      <c r="AH12" s="195" t="str">
        <f t="shared" si="16"/>
        <v/>
      </c>
      <c r="AI12" s="195" t="str">
        <f t="shared" si="26"/>
        <v/>
      </c>
      <c r="AJ12" s="196">
        <f t="array" ref="AJ12">MATCH(AB12 &amp; AG12,$V$12:$V$15 &amp; $AA$12:$AA$15,0)</f>
        <v>1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 t="str">
        <f t="shared" si="23"/>
        <v/>
      </c>
      <c r="AW12" s="195" t="str">
        <f t="shared" si="24"/>
        <v/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 x14ac:dyDescent="0.25">
      <c r="A13" s="198" t="str">
        <f>Quiniela!B30</f>
        <v>España</v>
      </c>
      <c r="B13" s="198" t="str">
        <f>IF(Quiniela!C30="","",Quiniela!C30)</f>
        <v/>
      </c>
      <c r="C13" s="198" t="s">
        <v>24</v>
      </c>
      <c r="D13" s="198" t="str">
        <f>IF(Quiniela!E30="","",Quiniela!E30)</f>
        <v/>
      </c>
      <c r="E13" s="198" t="str">
        <f>Quiniela!F30</f>
        <v>Chile</v>
      </c>
      <c r="F13" s="195"/>
      <c r="G13" s="195" t="str">
        <f>A11</f>
        <v>Chile</v>
      </c>
      <c r="H13" s="195" t="str">
        <f>IF(Quiniela!N29="","",Quiniela!N29)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IF(Quiniela!Q31="","",Quiniela!Q31)</f>
        <v/>
      </c>
      <c r="X13" s="195">
        <f>Quiniela!R31</f>
        <v>0</v>
      </c>
      <c r="Y13" s="195">
        <f>Quiniela!T31</f>
        <v>0</v>
      </c>
      <c r="Z13" s="195" t="str">
        <f>IF(Quiniela!U31="","",Quiniela!U31)</f>
        <v/>
      </c>
      <c r="AA13" s="195" t="str">
        <f>IF(OR(W9="",Z9=""),"OF6",IF((W9+X9)&gt;(Y9+Z9),V9,AA9))</f>
        <v>OF6</v>
      </c>
      <c r="AB13" s="195" t="str">
        <f>Quiniela!X31</f>
        <v>OF5</v>
      </c>
      <c r="AC13" s="195" t="str">
        <f>IF(Quiniela!Y31="","",Quiniela!Y31)</f>
        <v/>
      </c>
      <c r="AD13" s="195">
        <f>IF(Quiniela!AG31="","",Quiniela!AG31)</f>
        <v>0</v>
      </c>
      <c r="AE13" s="195">
        <f>IF(Quiniela!AH31="","",Quiniela!AH31)</f>
        <v>0</v>
      </c>
      <c r="AF13" s="195" t="str">
        <f>IF(Quiniela!AA31="","",Quiniela!AA31)</f>
        <v/>
      </c>
      <c r="AG13" s="195" t="str">
        <f>Quiniela!AB31</f>
        <v>OF6</v>
      </c>
      <c r="AH13" s="195" t="str">
        <f t="shared" si="16"/>
        <v/>
      </c>
      <c r="AI13" s="195" t="str">
        <f t="shared" si="26"/>
        <v/>
      </c>
      <c r="AJ13" s="196">
        <f t="array" ref="AJ13">MATCH(AB13 &amp; AG13,$V$12:$V$15 &amp; $AA$12:$AA$15,0)</f>
        <v>2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 t="str">
        <f t="shared" si="23"/>
        <v/>
      </c>
      <c r="AW13" s="195" t="str">
        <f t="shared" si="24"/>
        <v/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 x14ac:dyDescent="0.25">
      <c r="A14" s="198" t="str">
        <f>Quiniela!B31</f>
        <v>Australia</v>
      </c>
      <c r="B14" s="198" t="str">
        <f>IF(Quiniela!C31="","",Quiniela!C31)</f>
        <v/>
      </c>
      <c r="C14" s="198" t="s">
        <v>24</v>
      </c>
      <c r="D14" s="198" t="str">
        <f>IF(Quiniela!E31="","",Quiniela!E31)</f>
        <v/>
      </c>
      <c r="E14" s="198" t="str">
        <f>Quiniela!F31</f>
        <v>España</v>
      </c>
      <c r="F14" s="195"/>
      <c r="G14" s="195" t="str">
        <f>E11</f>
        <v>Australia</v>
      </c>
      <c r="H14" s="195" t="str">
        <f>IF(Quiniela!N30="","",Quiniela!N30)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IF(Quiniela!Q32="","",Quiniela!Q32)</f>
        <v/>
      </c>
      <c r="X14" s="195">
        <f>Quiniela!R32</f>
        <v>0</v>
      </c>
      <c r="Y14" s="195">
        <f>Quiniela!T32</f>
        <v>0</v>
      </c>
      <c r="Z14" s="195" t="str">
        <f>IF(Quiniela!U32="","",Quiniela!U32)</f>
        <v/>
      </c>
      <c r="AA14" s="195" t="str">
        <f>IF(OR(W7="",Z7=""),"OF4",IF((W7+X7)&gt;(Y7+Z7),V7,AA7))</f>
        <v>OF4</v>
      </c>
      <c r="AB14" s="195" t="str">
        <f>Quiniela!X32</f>
        <v>OF3</v>
      </c>
      <c r="AC14" s="195" t="str">
        <f>IF(Quiniela!Y32="","",Quiniela!Y32)</f>
        <v/>
      </c>
      <c r="AD14" s="195">
        <f>IF(Quiniela!AG32="","",Quiniela!AG32)</f>
        <v>0</v>
      </c>
      <c r="AE14" s="195">
        <f>IF(Quiniela!AH32="","",Quiniela!AH32)</f>
        <v>0</v>
      </c>
      <c r="AF14" s="195" t="str">
        <f>IF(Quiniela!AA32="","",Quiniela!AA32)</f>
        <v/>
      </c>
      <c r="AG14" s="195" t="str">
        <f>Quiniela!AB32</f>
        <v>OF4</v>
      </c>
      <c r="AH14" s="195" t="str">
        <f t="shared" si="16"/>
        <v/>
      </c>
      <c r="AI14" s="195" t="str">
        <f t="shared" si="26"/>
        <v/>
      </c>
      <c r="AJ14" s="196">
        <f t="array" ref="AJ14">MATCH(AB14 &amp; AG14,$V$12:$V$15 &amp; $AA$12:$AA$15,0)</f>
        <v>3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 t="str">
        <f t="shared" si="23"/>
        <v/>
      </c>
      <c r="AW14" s="195" t="str">
        <f t="shared" si="24"/>
        <v/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 x14ac:dyDescent="0.25">
      <c r="A15" s="198" t="str">
        <f>Quiniela!B32</f>
        <v>Países Bajos</v>
      </c>
      <c r="B15" s="198" t="str">
        <f>IF(Quiniela!C32="","",Quiniela!C32)</f>
        <v/>
      </c>
      <c r="C15" s="198" t="s">
        <v>24</v>
      </c>
      <c r="D15" s="198" t="str">
        <f>IF(Quiniela!E32="","",Quiniela!E32)</f>
        <v/>
      </c>
      <c r="E15" s="198" t="str">
        <f>Quiniela!F32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IF(Quiniela!Q33="","",Quiniela!Q33)</f>
        <v/>
      </c>
      <c r="X15" s="195">
        <f>Quiniela!R33</f>
        <v>0</v>
      </c>
      <c r="Y15" s="195">
        <f>Quiniela!T33</f>
        <v>0</v>
      </c>
      <c r="Z15" s="195" t="str">
        <f>IF(Quiniela!U33="","",Quiniela!U33)</f>
        <v/>
      </c>
      <c r="AA15" s="195" t="str">
        <f>IF(OR(W11="",Z11=""),"OF8",IF((W11+X11)&gt;(Y11+Z11),V11,AA11))</f>
        <v>OF8</v>
      </c>
      <c r="AB15" s="195" t="str">
        <f>Quiniela!X33</f>
        <v>OF7</v>
      </c>
      <c r="AC15" s="195" t="str">
        <f>IF(Quiniela!Y33="","",Quiniela!Y33)</f>
        <v/>
      </c>
      <c r="AD15" s="195">
        <f>IF(Quiniela!AG33="","",Quiniela!AG33)</f>
        <v>0</v>
      </c>
      <c r="AE15" s="195">
        <f>IF(Quiniela!AH33="","",Quiniela!AH33)</f>
        <v>0</v>
      </c>
      <c r="AF15" s="195" t="str">
        <f>IF(Quiniela!AA33="","",Quiniela!AA33)</f>
        <v/>
      </c>
      <c r="AG15" s="195" t="str">
        <f>Quiniela!AB33</f>
        <v>OF8</v>
      </c>
      <c r="AH15" s="195" t="str">
        <f t="shared" si="16"/>
        <v/>
      </c>
      <c r="AI15" s="195" t="str">
        <f t="shared" si="26"/>
        <v/>
      </c>
      <c r="AJ15" s="196">
        <f t="array" ref="AJ15">MATCH(AB15 &amp; AG15,$V$12:$V$15 &amp; $AA$12:$AA$15,0)</f>
        <v>4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 t="str">
        <f t="shared" si="23"/>
        <v/>
      </c>
      <c r="AW15" s="195" t="str">
        <f t="shared" si="24"/>
        <v/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 x14ac:dyDescent="0.25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IF(Quiniela!Q40="","",Quiniela!Q40)</f>
        <v/>
      </c>
      <c r="X16" s="204">
        <f>Quiniela!R40</f>
        <v>0</v>
      </c>
      <c r="Y16" s="204">
        <f>Quiniela!T40</f>
        <v>0</v>
      </c>
      <c r="Z16" s="204" t="str">
        <f>IF(Quiniela!U40="","",Quiniela!U40)</f>
        <v/>
      </c>
      <c r="AA16" s="204" t="str">
        <f>IF(OR(W13="",Z13=""),"CF2",IF((W13+X13)&gt;(Y13+Z13),V13,AA13))</f>
        <v>CF2</v>
      </c>
      <c r="AB16" s="204" t="str">
        <f>Quiniela!X40</f>
        <v>CF1</v>
      </c>
      <c r="AC16" s="204" t="str">
        <f>IF(Quiniela!Y40="","",Quiniela!Y40)</f>
        <v/>
      </c>
      <c r="AD16" s="204">
        <f>IF(Quiniela!AG40="","",Quiniela!AG40)</f>
        <v>0</v>
      </c>
      <c r="AE16" s="204">
        <f>IF(Quiniela!AH40="","",Quiniela!AH40)</f>
        <v>0</v>
      </c>
      <c r="AF16" s="204" t="str">
        <f>IF(Quiniela!AA40="","",Quiniela!AA40)</f>
        <v/>
      </c>
      <c r="AG16" s="204" t="str">
        <f>Quiniela!AB40</f>
        <v>CF2</v>
      </c>
      <c r="AH16" s="204" t="str">
        <f t="shared" si="16"/>
        <v/>
      </c>
      <c r="AI16" s="204" t="str">
        <f t="shared" si="26"/>
        <v/>
      </c>
      <c r="AJ16" s="196">
        <f t="array" ref="AJ16">MATCH(AB16 &amp; AG16,$V$16:$V$17 &amp; $AA$16:$AA$17,0)</f>
        <v>1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 t="str">
        <f t="shared" si="23"/>
        <v/>
      </c>
      <c r="AW16" s="195" t="str">
        <f t="shared" si="24"/>
        <v/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 x14ac:dyDescent="0.25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IF(Quiniela!Q41="","",Quiniela!Q41)</f>
        <v/>
      </c>
      <c r="X17" s="204">
        <f>Quiniela!R41</f>
        <v>0</v>
      </c>
      <c r="Y17" s="204">
        <f>Quiniela!T41</f>
        <v>0</v>
      </c>
      <c r="Z17" s="204" t="str">
        <f>IF(Quiniela!U41="","",Quiniela!U41)</f>
        <v/>
      </c>
      <c r="AA17" s="204" t="str">
        <f>IF(OR(W15="",Z15=""),"CF4",IF((W15+X15)&gt;(Y15+Z15),V15,AA15))</f>
        <v>CF4</v>
      </c>
      <c r="AB17" s="204" t="str">
        <f>Quiniela!X41</f>
        <v>CF3</v>
      </c>
      <c r="AC17" s="204" t="str">
        <f>IF(Quiniela!Y41="","",Quiniela!Y41)</f>
        <v/>
      </c>
      <c r="AD17" s="204">
        <f>IF(Quiniela!AG41="","",Quiniela!AG41)</f>
        <v>0</v>
      </c>
      <c r="AE17" s="204">
        <f>IF(Quiniela!AH41="","",Quiniela!AH41)</f>
        <v>0</v>
      </c>
      <c r="AF17" s="204" t="str">
        <f>IF(Quiniela!AA41="","",Quiniela!AA41)</f>
        <v/>
      </c>
      <c r="AG17" s="204" t="str">
        <f>Quiniela!AB41</f>
        <v>CF4</v>
      </c>
      <c r="AH17" s="204" t="str">
        <f t="shared" si="16"/>
        <v/>
      </c>
      <c r="AI17" s="204" t="str">
        <f t="shared" si="26"/>
        <v/>
      </c>
      <c r="AJ17" s="196">
        <f t="array" ref="AJ17">MATCH(AB17 &amp; AG17,$V$16:$V$17 &amp; $AA$16:$AA$17,0)</f>
        <v>2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 t="str">
        <f t="shared" si="23"/>
        <v/>
      </c>
      <c r="AW17" s="195" t="str">
        <f t="shared" si="24"/>
        <v/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 x14ac:dyDescent="0.25">
      <c r="A18" s="198" t="str">
        <f>Quiniela!B38</f>
        <v>Colombia</v>
      </c>
      <c r="B18" s="198" t="str">
        <f>IF(Quiniela!C38="","",Quiniela!C38)</f>
        <v/>
      </c>
      <c r="C18" s="198" t="s">
        <v>24</v>
      </c>
      <c r="D18" s="198" t="str">
        <f>IF(Quiniela!E38="","",Quiniela!E38)</f>
        <v/>
      </c>
      <c r="E18" s="198" t="str">
        <f>Quiniela!F38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IF(Quiniela!Q48="","",Quiniela!Q48)</f>
        <v/>
      </c>
      <c r="X18" s="195">
        <f>Quiniela!R48</f>
        <v>0</v>
      </c>
      <c r="Y18" s="195">
        <f>Quiniela!T48</f>
        <v>0</v>
      </c>
      <c r="Z18" s="195" t="str">
        <f>IF(Quiniela!U48="","",Quiniela!U48)</f>
        <v/>
      </c>
      <c r="AA18" s="195" t="str">
        <f>IF(OR(W17="",Z17=""),"L-SF2",IF((W17+X17)&gt;(Y17+Z17),AA17,V17))</f>
        <v>L-SF2</v>
      </c>
      <c r="AB18" s="195" t="str">
        <f>Quiniela!X48</f>
        <v>SF1-2</v>
      </c>
      <c r="AC18" s="195" t="str">
        <f>IF(Quiniela!Y48="","",Quiniela!Y48)</f>
        <v/>
      </c>
      <c r="AD18" s="195">
        <f>IF(Quiniela!AG48="","",Quiniela!AG48)</f>
        <v>0</v>
      </c>
      <c r="AE18" s="195">
        <f>IF(Quiniela!AH48="","",Quiniela!AH48)</f>
        <v>0</v>
      </c>
      <c r="AF18" s="195" t="str">
        <f>IF(Quiniela!AA48="","",Quiniela!AA48)</f>
        <v/>
      </c>
      <c r="AG18" s="195" t="str">
        <f>Quiniela!AB48</f>
        <v>SF2-2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 t="str">
        <f t="shared" si="23"/>
        <v/>
      </c>
      <c r="AW18" s="195" t="str">
        <f t="shared" si="24"/>
        <v/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 x14ac:dyDescent="0.25">
      <c r="A19" s="198" t="str">
        <f>Quiniela!B39</f>
        <v>Costa de Marfil</v>
      </c>
      <c r="B19" s="198" t="str">
        <f>IF(Quiniela!C39="","",Quiniela!C39)</f>
        <v/>
      </c>
      <c r="C19" s="198" t="s">
        <v>24</v>
      </c>
      <c r="D19" s="198" t="str">
        <f>IF(Quiniela!E39="","",Quiniela!E39)</f>
        <v/>
      </c>
      <c r="E19" s="198" t="str">
        <f>Quiniela!F39</f>
        <v>Japón</v>
      </c>
      <c r="F19" s="195"/>
      <c r="G19" s="195" t="str">
        <f>A18</f>
        <v>Colombia</v>
      </c>
      <c r="H19" s="195" t="str">
        <f>IF(Quiniela!N38="","",Quiniela!N38)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IF(Quiniela!Q55="","",Quiniela!Q55)</f>
        <v/>
      </c>
      <c r="X19" s="195">
        <f>Quiniela!R55</f>
        <v>0</v>
      </c>
      <c r="Y19" s="195">
        <f>Quiniela!T55</f>
        <v>0</v>
      </c>
      <c r="Z19" s="195" t="str">
        <f>IF(Quiniela!U55="","",Quiniela!U55)</f>
        <v/>
      </c>
      <c r="AA19" s="195" t="str">
        <f>IF(OR(W17="",Z17=""),"W-SF2",IF((W17+X17)&gt;(Y17+Z17),V17,AA17))</f>
        <v>W-SF2</v>
      </c>
      <c r="AB19" s="195" t="str">
        <f>Quiniela!X55</f>
        <v>SF1</v>
      </c>
      <c r="AC19" s="195" t="str">
        <f>IF(Quiniela!Y55="","",Quiniela!Y55)</f>
        <v/>
      </c>
      <c r="AD19" s="195">
        <f>IF(Quiniela!AG55="","",Quiniela!AG55)</f>
        <v>0</v>
      </c>
      <c r="AE19" s="195">
        <f>IF(Quiniela!AH55="","",Quiniela!AH55)</f>
        <v>0</v>
      </c>
      <c r="AF19" s="195" t="str">
        <f>IF(Quiniela!AA55="","",Quiniela!AA55)</f>
        <v/>
      </c>
      <c r="AG19" s="195" t="str">
        <f>Quiniela!AB55</f>
        <v>SF2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 t="str">
        <f t="shared" si="23"/>
        <v/>
      </c>
      <c r="AW19" s="195" t="str">
        <f t="shared" si="24"/>
        <v/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 x14ac:dyDescent="0.25">
      <c r="A20" s="198" t="str">
        <f>Quiniela!B40</f>
        <v>Colombia</v>
      </c>
      <c r="B20" s="198" t="str">
        <f>IF(Quiniela!C40="","",Quiniela!C40)</f>
        <v/>
      </c>
      <c r="C20" s="198" t="s">
        <v>24</v>
      </c>
      <c r="D20" s="198" t="str">
        <f>IF(Quiniela!E40="","",Quiniela!E40)</f>
        <v/>
      </c>
      <c r="E20" s="198" t="str">
        <f>Quiniela!F40</f>
        <v>Costa de Marfil</v>
      </c>
      <c r="F20" s="195"/>
      <c r="G20" s="195" t="str">
        <f>E18</f>
        <v>Grecia</v>
      </c>
      <c r="H20" s="195" t="str">
        <f>IF(Quiniela!N39="","",Quiniela!N39)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 x14ac:dyDescent="0.25">
      <c r="A21" s="198" t="str">
        <f>Quiniela!B41</f>
        <v>Japón</v>
      </c>
      <c r="B21" s="198" t="str">
        <f>IF(Quiniela!C41="","",Quiniela!C41)</f>
        <v/>
      </c>
      <c r="C21" s="198" t="s">
        <v>24</v>
      </c>
      <c r="D21" s="198" t="str">
        <f>IF(Quiniela!E41="","",Quiniela!E41)</f>
        <v/>
      </c>
      <c r="E21" s="198" t="str">
        <f>Quiniela!F41</f>
        <v>Grecia</v>
      </c>
      <c r="F21" s="195"/>
      <c r="G21" s="195" t="str">
        <f>A19</f>
        <v>Costa de Marfil</v>
      </c>
      <c r="H21" s="195" t="str">
        <f>IF(Quiniela!N40="","",Quiniela!N40)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 x14ac:dyDescent="0.25">
      <c r="A22" s="198" t="str">
        <f>Quiniela!B42</f>
        <v>Japón</v>
      </c>
      <c r="B22" s="198" t="str">
        <f>IF(Quiniela!C42="","",Quiniela!C42)</f>
        <v/>
      </c>
      <c r="C22" s="198" t="s">
        <v>24</v>
      </c>
      <c r="D22" s="198" t="str">
        <f>IF(Quiniela!E42="","",Quiniela!E42)</f>
        <v/>
      </c>
      <c r="E22" s="198" t="str">
        <f>Quiniela!F42</f>
        <v>Colombia</v>
      </c>
      <c r="F22" s="195"/>
      <c r="G22" s="195" t="str">
        <f>E19</f>
        <v>Japón</v>
      </c>
      <c r="H22" s="195" t="str">
        <f>IF(Quiniela!N41="","",Quiniela!N41)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 x14ac:dyDescent="0.25">
      <c r="A23" s="198" t="str">
        <f>Quiniela!B43</f>
        <v>Grecia</v>
      </c>
      <c r="B23" s="198" t="str">
        <f>IF(Quiniela!C43="","",Quiniela!C43)</f>
        <v/>
      </c>
      <c r="C23" s="198" t="s">
        <v>24</v>
      </c>
      <c r="D23" s="198" t="str">
        <f>IF(Quiniela!E43="","",Quiniela!E43)</f>
        <v/>
      </c>
      <c r="E23" s="198" t="str">
        <f>Quiniela!F43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 x14ac:dyDescent="0.25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 x14ac:dyDescent="0.25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 x14ac:dyDescent="0.25">
      <c r="A26" s="198" t="str">
        <f>Quiniela!B49</f>
        <v>Uruguay</v>
      </c>
      <c r="B26" s="198" t="str">
        <f>IF(Quiniela!C49="","",Quiniela!C49)</f>
        <v/>
      </c>
      <c r="C26" s="198" t="s">
        <v>24</v>
      </c>
      <c r="D26" s="198" t="str">
        <f>IF(Quiniela!E49="","",Quiniela!E49)</f>
        <v/>
      </c>
      <c r="E26" s="198" t="str">
        <f>Quiniela!F49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 x14ac:dyDescent="0.25">
      <c r="A27" s="198" t="str">
        <f>Quiniela!B50</f>
        <v>Inglaterra</v>
      </c>
      <c r="B27" s="198" t="str">
        <f>IF(Quiniela!C50="","",Quiniela!C50)</f>
        <v/>
      </c>
      <c r="C27" s="198" t="s">
        <v>24</v>
      </c>
      <c r="D27" s="198" t="str">
        <f>IF(Quiniela!E50="","",Quiniela!E50)</f>
        <v/>
      </c>
      <c r="E27" s="198" t="str">
        <f>Quiniela!F50</f>
        <v>Italia</v>
      </c>
      <c r="F27" s="195"/>
      <c r="G27" s="195" t="str">
        <f>A26</f>
        <v>Uruguay</v>
      </c>
      <c r="H27" s="195" t="str">
        <f>IF(Quiniela!N49="","",Quiniela!N49)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 x14ac:dyDescent="0.25">
      <c r="A28" s="198" t="str">
        <f>Quiniela!B51</f>
        <v>Uruguay</v>
      </c>
      <c r="B28" s="198" t="str">
        <f>IF(Quiniela!C51="","",Quiniela!C51)</f>
        <v/>
      </c>
      <c r="C28" s="198" t="s">
        <v>24</v>
      </c>
      <c r="D28" s="198" t="str">
        <f>IF(Quiniela!E51="","",Quiniela!E51)</f>
        <v/>
      </c>
      <c r="E28" s="198" t="str">
        <f>Quiniela!F51</f>
        <v>Inglaterra</v>
      </c>
      <c r="F28" s="195"/>
      <c r="G28" s="195" t="str">
        <f>E26</f>
        <v>Costa Rica</v>
      </c>
      <c r="H28" s="195" t="str">
        <f>IF(Quiniela!N50="","",Quiniela!N50)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 x14ac:dyDescent="0.25">
      <c r="A29" s="198" t="str">
        <f>Quiniela!B52</f>
        <v>Italia</v>
      </c>
      <c r="B29" s="198" t="str">
        <f>IF(Quiniela!C52="","",Quiniela!C52)</f>
        <v/>
      </c>
      <c r="C29" s="198" t="s">
        <v>24</v>
      </c>
      <c r="D29" s="198" t="str">
        <f>IF(Quiniela!E52="","",Quiniela!E52)</f>
        <v/>
      </c>
      <c r="E29" s="198" t="str">
        <f>Quiniela!F52</f>
        <v>Costa Rica</v>
      </c>
      <c r="F29" s="195"/>
      <c r="G29" s="195" t="str">
        <f>A27</f>
        <v>Inglaterra</v>
      </c>
      <c r="H29" s="195" t="str">
        <f>IF(Quiniela!N51="","",Quiniela!N51)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 x14ac:dyDescent="0.25">
      <c r="A30" s="198" t="str">
        <f>Quiniela!B53</f>
        <v>Italia</v>
      </c>
      <c r="B30" s="198" t="str">
        <f>IF(Quiniela!C53="","",Quiniela!C53)</f>
        <v/>
      </c>
      <c r="C30" s="198" t="s">
        <v>24</v>
      </c>
      <c r="D30" s="198" t="str">
        <f>IF(Quiniela!E53="","",Quiniela!E53)</f>
        <v/>
      </c>
      <c r="E30" s="198" t="str">
        <f>Quiniela!F53</f>
        <v>Uruguay</v>
      </c>
      <c r="F30" s="195"/>
      <c r="G30" s="195" t="str">
        <f>E27</f>
        <v>Italia</v>
      </c>
      <c r="H30" s="195" t="str">
        <f>IF(Quiniela!N52="","",Quiniela!N52)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 x14ac:dyDescent="0.25">
      <c r="A31" s="198" t="str">
        <f>Quiniela!B54</f>
        <v>Costa Rica</v>
      </c>
      <c r="B31" s="198" t="str">
        <f>IF(Quiniela!C54="","",Quiniela!C54)</f>
        <v/>
      </c>
      <c r="C31" s="198" t="s">
        <v>24</v>
      </c>
      <c r="D31" s="198" t="str">
        <f>IF(Quiniela!E54="","",Quiniela!E54)</f>
        <v/>
      </c>
      <c r="E31" s="198" t="str">
        <f>Quiniela!F54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 x14ac:dyDescent="0.25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 x14ac:dyDescent="0.25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 x14ac:dyDescent="0.25">
      <c r="A34" s="198" t="str">
        <f>Quiniela!B60</f>
        <v>Suiza</v>
      </c>
      <c r="B34" s="198" t="str">
        <f>IF(Quiniela!C60="","",Quiniela!C60)</f>
        <v/>
      </c>
      <c r="C34" s="198" t="s">
        <v>24</v>
      </c>
      <c r="D34" s="198" t="str">
        <f>IF(Quiniela!E60="","",Quiniela!E60)</f>
        <v/>
      </c>
      <c r="E34" s="198" t="str">
        <f>Quiniela!F60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 x14ac:dyDescent="0.25">
      <c r="A35" s="198" t="str">
        <f>Quiniela!B61</f>
        <v>Francia</v>
      </c>
      <c r="B35" s="198" t="str">
        <f>IF(Quiniela!C61="","",Quiniela!C61)</f>
        <v/>
      </c>
      <c r="C35" s="198" t="s">
        <v>24</v>
      </c>
      <c r="D35" s="198" t="str">
        <f>IF(Quiniela!E61="","",Quiniela!E61)</f>
        <v/>
      </c>
      <c r="E35" s="198" t="str">
        <f>Quiniela!F61</f>
        <v>Honduras</v>
      </c>
      <c r="F35" s="195"/>
      <c r="G35" s="195" t="str">
        <f>A34</f>
        <v>Suiza</v>
      </c>
      <c r="H35" s="195" t="str">
        <f>IF(Quiniela!N60="","",Quiniela!N60)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 x14ac:dyDescent="0.25">
      <c r="A36" s="198" t="str">
        <f>Quiniela!B62</f>
        <v>Suiza</v>
      </c>
      <c r="B36" s="198" t="str">
        <f>IF(Quiniela!C62="","",Quiniela!C62)</f>
        <v/>
      </c>
      <c r="C36" s="198" t="s">
        <v>24</v>
      </c>
      <c r="D36" s="198" t="str">
        <f>IF(Quiniela!E62="","",Quiniela!E62)</f>
        <v/>
      </c>
      <c r="E36" s="198" t="str">
        <f>Quiniela!F62</f>
        <v>Francia</v>
      </c>
      <c r="F36" s="195"/>
      <c r="G36" s="195" t="str">
        <f>E34</f>
        <v>Ecuador</v>
      </c>
      <c r="H36" s="195" t="str">
        <f>IF(Quiniela!N61="","",Quiniela!N61)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 x14ac:dyDescent="0.25">
      <c r="A37" s="198" t="str">
        <f>Quiniela!B63</f>
        <v>Honduras</v>
      </c>
      <c r="B37" s="198" t="str">
        <f>IF(Quiniela!C63="","",Quiniela!C63)</f>
        <v/>
      </c>
      <c r="C37" s="198" t="s">
        <v>24</v>
      </c>
      <c r="D37" s="198" t="str">
        <f>IF(Quiniela!E63="","",Quiniela!E63)</f>
        <v/>
      </c>
      <c r="E37" s="198" t="str">
        <f>Quiniela!F63</f>
        <v>Ecuador</v>
      </c>
      <c r="F37" s="195"/>
      <c r="G37" s="195" t="str">
        <f>A35</f>
        <v>Francia</v>
      </c>
      <c r="H37" s="195" t="str">
        <f>IF(Quiniela!N62="","",Quiniela!N62)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 x14ac:dyDescent="0.25">
      <c r="A38" s="198" t="str">
        <f>Quiniela!B64</f>
        <v>Honduras</v>
      </c>
      <c r="B38" s="198" t="str">
        <f>IF(Quiniela!C64="","",Quiniela!C64)</f>
        <v/>
      </c>
      <c r="C38" s="198" t="s">
        <v>24</v>
      </c>
      <c r="D38" s="198" t="str">
        <f>IF(Quiniela!E64="","",Quiniela!E64)</f>
        <v/>
      </c>
      <c r="E38" s="198" t="str">
        <f>Quiniela!F64</f>
        <v>Suiza</v>
      </c>
      <c r="F38" s="195"/>
      <c r="G38" s="195" t="str">
        <f>E35</f>
        <v>Honduras</v>
      </c>
      <c r="H38" s="195" t="str">
        <f>IF(Quiniela!N63="","",Quiniela!N63)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 x14ac:dyDescent="0.25">
      <c r="A39" s="198" t="str">
        <f>Quiniela!B65</f>
        <v>Ecuador</v>
      </c>
      <c r="B39" s="198" t="str">
        <f>IF(Quiniela!C65="","",Quiniela!C65)</f>
        <v/>
      </c>
      <c r="C39" s="198" t="s">
        <v>24</v>
      </c>
      <c r="D39" s="198" t="str">
        <f>IF(Quiniela!E65="","",Quiniela!E65)</f>
        <v/>
      </c>
      <c r="E39" s="198" t="str">
        <f>Quiniela!F65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 x14ac:dyDescent="0.2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 x14ac:dyDescent="0.25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 x14ac:dyDescent="0.25">
      <c r="A42" s="198" t="str">
        <f>Quiniela!B71</f>
        <v>Argentina</v>
      </c>
      <c r="B42" s="198" t="str">
        <f>IF(Quiniela!C71="","",Quiniela!C71)</f>
        <v/>
      </c>
      <c r="C42" s="198" t="s">
        <v>24</v>
      </c>
      <c r="D42" s="198" t="str">
        <f>IF(Quiniela!E71="","",Quiniela!E71)</f>
        <v/>
      </c>
      <c r="E42" s="198" t="str">
        <f>Quiniela!F71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 x14ac:dyDescent="0.25">
      <c r="A43" s="198" t="str">
        <f>Quiniela!B72</f>
        <v>Irán</v>
      </c>
      <c r="B43" s="198" t="str">
        <f>IF(Quiniela!C72="","",Quiniela!C72)</f>
        <v/>
      </c>
      <c r="C43" s="198" t="s">
        <v>24</v>
      </c>
      <c r="D43" s="198" t="str">
        <f>IF(Quiniela!E72="","",Quiniela!E72)</f>
        <v/>
      </c>
      <c r="E43" s="198" t="str">
        <f>Quiniela!F72</f>
        <v>Nigeria</v>
      </c>
      <c r="F43" s="195"/>
      <c r="G43" s="195" t="str">
        <f>A42</f>
        <v>Argentina</v>
      </c>
      <c r="H43" s="195" t="str">
        <f>IF(Quiniela!N71="","",Quiniela!N71)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 x14ac:dyDescent="0.25">
      <c r="A44" s="198" t="str">
        <f>Quiniela!B73</f>
        <v>Argentina</v>
      </c>
      <c r="B44" s="198" t="str">
        <f>IF(Quiniela!C73="","",Quiniela!C73)</f>
        <v/>
      </c>
      <c r="C44" s="198" t="s">
        <v>24</v>
      </c>
      <c r="D44" s="198" t="str">
        <f>IF(Quiniela!E73="","",Quiniela!E73)</f>
        <v/>
      </c>
      <c r="E44" s="198" t="str">
        <f>Quiniela!F73</f>
        <v>Irán</v>
      </c>
      <c r="F44" s="195"/>
      <c r="G44" s="195" t="str">
        <f>E42</f>
        <v>Bosnia-Herzegovina</v>
      </c>
      <c r="H44" s="195" t="str">
        <f>IF(Quiniela!N72="","",Quiniela!N72)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 x14ac:dyDescent="0.25">
      <c r="A45" s="198" t="str">
        <f>Quiniela!B74</f>
        <v>Nigeria</v>
      </c>
      <c r="B45" s="198" t="str">
        <f>IF(Quiniela!C74="","",Quiniela!C74)</f>
        <v/>
      </c>
      <c r="C45" s="198" t="s">
        <v>24</v>
      </c>
      <c r="D45" s="198" t="str">
        <f>IF(Quiniela!E74="","",Quiniela!E74)</f>
        <v/>
      </c>
      <c r="E45" s="198" t="str">
        <f>Quiniela!F74</f>
        <v>Bosnia-Herzegovina</v>
      </c>
      <c r="F45" s="195"/>
      <c r="G45" s="195" t="str">
        <f>A43</f>
        <v>Irán</v>
      </c>
      <c r="H45" s="195" t="str">
        <f>IF(Quiniela!N73="","",Quiniela!N73)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 x14ac:dyDescent="0.25">
      <c r="A46" s="198" t="str">
        <f>Quiniela!B75</f>
        <v>Nigeria</v>
      </c>
      <c r="B46" s="198" t="str">
        <f>IF(Quiniela!C75="","",Quiniela!C75)</f>
        <v/>
      </c>
      <c r="C46" s="198" t="s">
        <v>24</v>
      </c>
      <c r="D46" s="198" t="str">
        <f>IF(Quiniela!E75="","",Quiniela!E75)</f>
        <v/>
      </c>
      <c r="E46" s="198" t="str">
        <f>Quiniela!F75</f>
        <v>Argentina</v>
      </c>
      <c r="F46" s="195"/>
      <c r="G46" s="195" t="str">
        <f>E43</f>
        <v>Nigeria</v>
      </c>
      <c r="H46" s="195" t="str">
        <f>IF(Quiniela!N74="","",Quiniela!N74)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 x14ac:dyDescent="0.25">
      <c r="A47" s="198" t="str">
        <f>Quiniela!B76</f>
        <v>Bosnia-Herzegovina</v>
      </c>
      <c r="B47" s="198" t="str">
        <f>IF(Quiniela!C76="","",Quiniela!C76)</f>
        <v/>
      </c>
      <c r="C47" s="198" t="s">
        <v>24</v>
      </c>
      <c r="D47" s="198" t="str">
        <f>IF(Quiniela!E76="","",Quiniela!E76)</f>
        <v/>
      </c>
      <c r="E47" s="198" t="str">
        <f>Quiniela!F76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 x14ac:dyDescent="0.2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 x14ac:dyDescent="0.25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 x14ac:dyDescent="0.25">
      <c r="A50" s="198" t="str">
        <f>Quiniela!B82</f>
        <v>Alemania</v>
      </c>
      <c r="B50" s="198" t="str">
        <f>IF(Quiniela!C82="","",Quiniela!C82)</f>
        <v/>
      </c>
      <c r="C50" s="198" t="s">
        <v>24</v>
      </c>
      <c r="D50" s="198" t="str">
        <f>IF(Quiniela!E82="","",Quiniela!E82)</f>
        <v/>
      </c>
      <c r="E50" s="198" t="str">
        <f>Quiniela!F82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 x14ac:dyDescent="0.25">
      <c r="A51" s="198" t="str">
        <f>Quiniela!B83</f>
        <v>Ghana</v>
      </c>
      <c r="B51" s="198" t="str">
        <f>IF(Quiniela!C83="","",Quiniela!C83)</f>
        <v/>
      </c>
      <c r="C51" s="198" t="s">
        <v>24</v>
      </c>
      <c r="D51" s="198" t="str">
        <f>IF(Quiniela!E83="","",Quiniela!E83)</f>
        <v/>
      </c>
      <c r="E51" s="198" t="str">
        <f>Quiniela!F83</f>
        <v>EEUU</v>
      </c>
      <c r="F51" s="195"/>
      <c r="G51" s="195" t="str">
        <f>A50</f>
        <v>Alemania</v>
      </c>
      <c r="H51" s="195" t="str">
        <f>IF(Quiniela!N82="","",Quiniela!N82)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 x14ac:dyDescent="0.25">
      <c r="A52" s="198" t="str">
        <f>Quiniela!B84</f>
        <v>Alemania</v>
      </c>
      <c r="B52" s="198" t="str">
        <f>IF(Quiniela!C84="","",Quiniela!C84)</f>
        <v/>
      </c>
      <c r="C52" s="198" t="s">
        <v>24</v>
      </c>
      <c r="D52" s="198" t="str">
        <f>IF(Quiniela!E84="","",Quiniela!E84)</f>
        <v/>
      </c>
      <c r="E52" s="198" t="str">
        <f>Quiniela!F84</f>
        <v>Ghana</v>
      </c>
      <c r="F52" s="195"/>
      <c r="G52" s="195" t="str">
        <f>E50</f>
        <v>Portugal</v>
      </c>
      <c r="H52" s="195" t="str">
        <f>IF(Quiniela!N83="","",Quiniela!N83)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 x14ac:dyDescent="0.25">
      <c r="A53" s="198" t="str">
        <f>Quiniela!B85</f>
        <v>EEUU</v>
      </c>
      <c r="B53" s="198" t="str">
        <f>IF(Quiniela!C85="","",Quiniela!C85)</f>
        <v/>
      </c>
      <c r="C53" s="198" t="s">
        <v>24</v>
      </c>
      <c r="D53" s="198" t="str">
        <f>IF(Quiniela!E85="","",Quiniela!E85)</f>
        <v/>
      </c>
      <c r="E53" s="198" t="str">
        <f>Quiniela!F85</f>
        <v>Portugal</v>
      </c>
      <c r="F53" s="195"/>
      <c r="G53" s="195" t="str">
        <f>A51</f>
        <v>Ghana</v>
      </c>
      <c r="H53" s="195" t="str">
        <f>IF(Quiniela!N84="","",Quiniela!N84)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 x14ac:dyDescent="0.25">
      <c r="A54" s="198" t="str">
        <f>Quiniela!B86</f>
        <v>EEUU</v>
      </c>
      <c r="B54" s="198" t="str">
        <f>IF(Quiniela!C86="","",Quiniela!C86)</f>
        <v/>
      </c>
      <c r="C54" s="198" t="s">
        <v>24</v>
      </c>
      <c r="D54" s="198" t="str">
        <f>IF(Quiniela!E86="","",Quiniela!E86)</f>
        <v/>
      </c>
      <c r="E54" s="198" t="str">
        <f>Quiniela!F86</f>
        <v>Alemania</v>
      </c>
      <c r="F54" s="195"/>
      <c r="G54" s="195" t="str">
        <f>E51</f>
        <v>EEUU</v>
      </c>
      <c r="H54" s="195" t="str">
        <f>IF(Quiniela!N85="","",Quiniela!N85)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 x14ac:dyDescent="0.25">
      <c r="A55" s="198" t="str">
        <f>Quiniela!B87</f>
        <v>Portugal</v>
      </c>
      <c r="B55" s="198" t="str">
        <f>IF(Quiniela!C87="","",Quiniela!C87)</f>
        <v/>
      </c>
      <c r="C55" s="198" t="s">
        <v>24</v>
      </c>
      <c r="D55" s="198" t="str">
        <f>IF(Quiniela!E87="","",Quiniela!E87)</f>
        <v/>
      </c>
      <c r="E55" s="198" t="str">
        <f>Quiniela!F87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 x14ac:dyDescent="0.2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 x14ac:dyDescent="0.25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 x14ac:dyDescent="0.25">
      <c r="A58" s="198" t="str">
        <f>Quiniela!B93</f>
        <v>Bélgica</v>
      </c>
      <c r="B58" s="198" t="str">
        <f>IF(Quiniela!C93="","",Quiniela!C93)</f>
        <v/>
      </c>
      <c r="C58" s="198" t="s">
        <v>24</v>
      </c>
      <c r="D58" s="198" t="str">
        <f>IF(Quiniela!E93="","",Quiniela!E93)</f>
        <v/>
      </c>
      <c r="E58" s="198" t="str">
        <f>Quiniela!F93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 x14ac:dyDescent="0.25">
      <c r="A59" s="198" t="str">
        <f>Quiniela!B94</f>
        <v>Rusia</v>
      </c>
      <c r="B59" s="198" t="str">
        <f>IF(Quiniela!C94="","",Quiniela!C94)</f>
        <v/>
      </c>
      <c r="C59" s="198" t="s">
        <v>24</v>
      </c>
      <c r="D59" s="198" t="str">
        <f>IF(Quiniela!E94="","",Quiniela!E94)</f>
        <v/>
      </c>
      <c r="E59" s="198" t="str">
        <f>Quiniela!F94</f>
        <v>República de Corea</v>
      </c>
      <c r="F59" s="195"/>
      <c r="G59" s="195" t="str">
        <f>A58</f>
        <v>Bélgica</v>
      </c>
      <c r="H59" s="195" t="str">
        <f>IF(Quiniela!N93="","",Quiniela!N93)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 x14ac:dyDescent="0.25">
      <c r="A60" s="198" t="str">
        <f>Quiniela!B95</f>
        <v>Bélgica</v>
      </c>
      <c r="B60" s="198" t="str">
        <f>IF(Quiniela!C95="","",Quiniela!C95)</f>
        <v/>
      </c>
      <c r="C60" s="198" t="s">
        <v>24</v>
      </c>
      <c r="D60" s="198" t="str">
        <f>IF(Quiniela!E95="","",Quiniela!E95)</f>
        <v/>
      </c>
      <c r="E60" s="198" t="str">
        <f>Quiniela!F95</f>
        <v>Rusia</v>
      </c>
      <c r="F60" s="195"/>
      <c r="G60" s="195" t="str">
        <f>E58</f>
        <v>Argelia</v>
      </c>
      <c r="H60" s="195" t="str">
        <f>IF(Quiniela!N94="","",Quiniela!N94)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 x14ac:dyDescent="0.25">
      <c r="A61" s="198" t="str">
        <f>Quiniela!B96</f>
        <v>República de Corea</v>
      </c>
      <c r="B61" s="198" t="str">
        <f>IF(Quiniela!C96="","",Quiniela!C96)</f>
        <v/>
      </c>
      <c r="C61" s="198" t="s">
        <v>24</v>
      </c>
      <c r="D61" s="198" t="str">
        <f>IF(Quiniela!E96="","",Quiniela!E96)</f>
        <v/>
      </c>
      <c r="E61" s="198" t="str">
        <f>Quiniela!F96</f>
        <v>Argelia</v>
      </c>
      <c r="F61" s="195"/>
      <c r="G61" s="195" t="str">
        <f>A59</f>
        <v>Rusia</v>
      </c>
      <c r="H61" s="195" t="str">
        <f>IF(Quiniela!N95="","",Quiniela!N95)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 x14ac:dyDescent="0.25">
      <c r="A62" s="198" t="str">
        <f>Quiniela!B97</f>
        <v>República de Corea</v>
      </c>
      <c r="B62" s="198" t="str">
        <f>IF(Quiniela!C97="","",Quiniela!C97)</f>
        <v/>
      </c>
      <c r="C62" s="198" t="s">
        <v>24</v>
      </c>
      <c r="D62" s="198" t="str">
        <f>IF(Quiniela!E97="","",Quiniela!E97)</f>
        <v/>
      </c>
      <c r="E62" s="198" t="str">
        <f>Quiniela!F97</f>
        <v>Bélgica</v>
      </c>
      <c r="F62" s="195"/>
      <c r="G62" s="195" t="str">
        <f>E59</f>
        <v>República de Corea</v>
      </c>
      <c r="H62" s="195" t="str">
        <f>IF(Quiniela!N96="","",Quiniela!N96)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 x14ac:dyDescent="0.25">
      <c r="A63" s="198" t="str">
        <f>Quiniela!B98</f>
        <v>Argelia</v>
      </c>
      <c r="B63" s="198" t="str">
        <f>IF(Quiniela!C98="","",Quiniela!C98)</f>
        <v/>
      </c>
      <c r="C63" s="198" t="s">
        <v>24</v>
      </c>
      <c r="D63" s="198" t="str">
        <f>IF(Quiniela!E98="","",Quiniela!E98)</f>
        <v/>
      </c>
      <c r="E63" s="198" t="str">
        <f>Quiniela!F98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 x14ac:dyDescent="0.2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 x14ac:dyDescent="0.2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sheetProtection sheet="1" objects="1" scenarios="1"/>
  <phoneticPr fontId="108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lculos1"/>
  <dimension ref="A1:BN65"/>
  <sheetViews>
    <sheetView topLeftCell="AB1" workbookViewId="0">
      <selection activeCell="AU4" sqref="AU4"/>
    </sheetView>
  </sheetViews>
  <sheetFormatPr defaultColWidth="11.42578125" defaultRowHeight="15" x14ac:dyDescent="0.2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 x14ac:dyDescent="0.25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 x14ac:dyDescent="0.25">
      <c r="A2" s="198" t="str">
        <f>Quiniela!B16</f>
        <v>Brasil</v>
      </c>
      <c r="B2" s="198">
        <f>IF(Quiniela!C16="","",Quiniela!C16)</f>
        <v>3</v>
      </c>
      <c r="C2" s="198" t="s">
        <v>24</v>
      </c>
      <c r="D2" s="198">
        <f>IF(Quiniela!E16="","",Quiniela!E16)</f>
        <v>1</v>
      </c>
      <c r="E2" s="198" t="str">
        <f>Quiniela!F16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194" t="s">
        <v>479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2</v>
      </c>
      <c r="AZ2" s="195">
        <f>VLOOKUP($AX2,$J$2:$S$62,3,FALSE)+COUNTIF($AH$4:$AH$19,$AX2)</f>
        <v>1</v>
      </c>
      <c r="BA2" s="197">
        <f>ROUND(IF($AY2=0,0,AZ2/$AY2),1)</f>
        <v>0.5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3</v>
      </c>
      <c r="BG2" s="197">
        <f>ROUND(IF($AY2=0,0,BF2/$AY2),1)</f>
        <v>1.5</v>
      </c>
      <c r="BH2" s="195">
        <f>VLOOKUP($AX2,$J$2:$S$62,6,FALSE)+SUMIF($V$4:$V$19,$AX2,$W$4:$W$19)+SUMIF($AA$4:$AA$19,$AX2,$Z$4:$Z$19)</f>
        <v>3</v>
      </c>
      <c r="BI2" s="197">
        <f>ROUND(IF($AY2=0,0,BH2/$AY2),1)</f>
        <v>1.5</v>
      </c>
      <c r="BJ2" s="195">
        <f>VLOOKUP($AX2,$J$2:$S$62,7,FALSE)+SUMIF($V$4:$V$19,$AX2,$Z$4:$Z$19)+SUMIF($AA$4:$AA$19,$AX2,$W$4:$W$19)</f>
        <v>1</v>
      </c>
      <c r="BK2" s="197">
        <f>ROUND(IF($AY2=0,0,BJ2/$AY2),1)</f>
        <v>0.5</v>
      </c>
      <c r="BL2" s="195">
        <f>BH2-BJ2</f>
        <v>2</v>
      </c>
      <c r="BM2" s="197">
        <f>ROUND(IF($AY2=0,0,BL2/$AY2),1)</f>
        <v>1</v>
      </c>
      <c r="BN2" s="197"/>
    </row>
    <row r="3" spans="1:66" ht="12.95" customHeight="1" x14ac:dyDescent="0.25">
      <c r="A3" s="198" t="str">
        <f>Quiniela!B17</f>
        <v>México</v>
      </c>
      <c r="B3" s="198" t="str">
        <f>IF(Quiniela!C17="","",Quiniela!C17)</f>
        <v/>
      </c>
      <c r="C3" s="198" t="s">
        <v>24</v>
      </c>
      <c r="D3" s="198" t="str">
        <f>IF(Quiniela!E17="","",Quiniela!E17)</f>
        <v/>
      </c>
      <c r="E3" s="198" t="str">
        <f>Quiniela!F17</f>
        <v>Camerún</v>
      </c>
      <c r="F3" s="195"/>
      <c r="G3" s="195" t="str">
        <f>A2</f>
        <v>Brasil</v>
      </c>
      <c r="H3" s="195" t="str">
        <f>IF(Quiniela!N16="","",Quiniela!N16)</f>
        <v/>
      </c>
      <c r="I3" s="195"/>
      <c r="J3" s="202" t="str">
        <f t="array" ref="J3:S6">Obtiene_Datos(A2:E7,G3:H6,A1)</f>
        <v>Brasil</v>
      </c>
      <c r="K3" s="198">
        <v>1</v>
      </c>
      <c r="L3" s="198">
        <v>1</v>
      </c>
      <c r="M3" s="198">
        <v>0</v>
      </c>
      <c r="N3" s="198">
        <v>0</v>
      </c>
      <c r="O3" s="198">
        <v>3</v>
      </c>
      <c r="P3" s="198">
        <v>1</v>
      </c>
      <c r="Q3" s="198">
        <v>2</v>
      </c>
      <c r="R3" s="198">
        <v>3</v>
      </c>
      <c r="S3" s="203">
        <v>35203000000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 x14ac:dyDescent="0.25">
      <c r="A4" s="198" t="str">
        <f>Quiniela!B18</f>
        <v>Brasil</v>
      </c>
      <c r="B4" s="198" t="str">
        <f>IF(Quiniela!C18="","",Quiniela!C18)</f>
        <v/>
      </c>
      <c r="C4" s="198" t="s">
        <v>24</v>
      </c>
      <c r="D4" s="198" t="str">
        <f>IF(Quiniela!E18="","",Quiniela!E18)</f>
        <v/>
      </c>
      <c r="E4" s="198" t="str">
        <f>Quiniela!F18</f>
        <v>México</v>
      </c>
      <c r="F4" s="195"/>
      <c r="G4" s="195" t="str">
        <f>E2</f>
        <v>Croacia</v>
      </c>
      <c r="H4" s="195" t="str">
        <f>IF(Quiniela!N17="","",Quiniela!N17)</f>
        <v/>
      </c>
      <c r="I4" s="195"/>
      <c r="J4" s="202" t="str">
        <v>Camerún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Brasil</v>
      </c>
      <c r="W4" s="204" t="str">
        <f>IF(Quiniela!Q16="","",Quiniela!Q16)</f>
        <v/>
      </c>
      <c r="X4" s="204">
        <f>Quiniela!R16</f>
        <v>0</v>
      </c>
      <c r="Y4" s="204">
        <f>Quiniela!T16</f>
        <v>0</v>
      </c>
      <c r="Z4" s="204" t="str">
        <f>IF(Quiniela!U16="","",Quiniela!U16)</f>
        <v/>
      </c>
      <c r="AA4" s="204" t="str">
        <f>IF(K12=0,"2do Grupo B",J12)</f>
        <v>2do Grupo B</v>
      </c>
      <c r="AB4" s="204" t="str">
        <f>'Manuel Godoy'!X16</f>
        <v>Brasil</v>
      </c>
      <c r="AC4" s="204">
        <f>IF('Manuel Godoy'!Y16="","",'Manuel Godoy'!Y16)</f>
        <v>3</v>
      </c>
      <c r="AD4" s="204">
        <f>IF('Manuel Godoy'!AG16="","",'Manuel Godoy'!AG16)</f>
        <v>0</v>
      </c>
      <c r="AE4" s="204">
        <f>IF('Manuel Godoy'!AH16="","",'Manuel Godoy'!AH16)</f>
        <v>0</v>
      </c>
      <c r="AF4" s="204">
        <f>IF('Manuel Godoy'!AA16="","",'Manuel Godoy'!AA16)</f>
        <v>2</v>
      </c>
      <c r="AG4" s="204" t="str">
        <f>'Manuel Godoy'!AB16</f>
        <v>Países Bajos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>
        <f>IF($AR$1="NO",AC4,SUM(AC4:AD4))</f>
        <v>3</v>
      </c>
      <c r="AW4" s="195">
        <f>IF($AR$1="NO",AF4,SUM(AE4:AF4))</f>
        <v>2</v>
      </c>
      <c r="AX4" s="201" t="str">
        <f>Config!O3</f>
        <v>Croacia</v>
      </c>
      <c r="AY4" s="195">
        <f t="shared" si="0"/>
        <v>1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1</v>
      </c>
      <c r="BE4" s="197">
        <f t="shared" si="6"/>
        <v>1</v>
      </c>
      <c r="BF4" s="195">
        <f t="shared" si="7"/>
        <v>0</v>
      </c>
      <c r="BG4" s="197">
        <f t="shared" si="8"/>
        <v>0</v>
      </c>
      <c r="BH4" s="195">
        <f t="shared" si="9"/>
        <v>1</v>
      </c>
      <c r="BI4" s="197">
        <f t="shared" si="10"/>
        <v>1</v>
      </c>
      <c r="BJ4" s="195">
        <f t="shared" si="11"/>
        <v>3</v>
      </c>
      <c r="BK4" s="197">
        <f t="shared" si="12"/>
        <v>3</v>
      </c>
      <c r="BL4" s="195">
        <f t="shared" si="13"/>
        <v>-2</v>
      </c>
      <c r="BM4" s="197">
        <f t="shared" si="14"/>
        <v>-2</v>
      </c>
      <c r="BN4" s="197"/>
    </row>
    <row r="5" spans="1:66" ht="12.95" customHeight="1" x14ac:dyDescent="0.25">
      <c r="A5" s="198" t="str">
        <f>Quiniela!B19</f>
        <v>Camerún</v>
      </c>
      <c r="B5" s="198" t="str">
        <f>IF(Quiniela!C19="","",Quiniela!C19)</f>
        <v/>
      </c>
      <c r="C5" s="198" t="s">
        <v>24</v>
      </c>
      <c r="D5" s="198" t="str">
        <f>IF(Quiniela!E19="","",Quiniela!E19)</f>
        <v/>
      </c>
      <c r="E5" s="198" t="str">
        <f>Quiniela!F19</f>
        <v>Croacia</v>
      </c>
      <c r="F5" s="195"/>
      <c r="G5" s="195" t="str">
        <f>A3</f>
        <v>México</v>
      </c>
      <c r="H5" s="195" t="str">
        <f>IF(Quiniela!N18="","",Quiniela!N18)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IF(Quiniela!Q17="","",Quiniela!Q17)</f>
        <v/>
      </c>
      <c r="X5" s="204">
        <f>Quiniela!R17</f>
        <v>0</v>
      </c>
      <c r="Y5" s="204">
        <f>Quiniela!T17</f>
        <v>0</v>
      </c>
      <c r="Z5" s="204" t="str">
        <f>IF(Quiniela!U17="","",Quiniela!U17)</f>
        <v/>
      </c>
      <c r="AA5" s="204" t="str">
        <f>IF(K28=0,"2do Grupo D",J28)</f>
        <v>2do Grupo D</v>
      </c>
      <c r="AB5" s="204" t="str">
        <f>'Manuel Godoy'!X17</f>
        <v>Colombia</v>
      </c>
      <c r="AC5" s="204">
        <f>IF('Manuel Godoy'!Y17="","",'Manuel Godoy'!Y17)</f>
        <v>0</v>
      </c>
      <c r="AD5" s="204">
        <f>IF('Manuel Godoy'!AG17="","",'Manuel Godoy'!AG17)</f>
        <v>0</v>
      </c>
      <c r="AE5" s="204">
        <f>IF('Manuel Godoy'!AH17="","",'Manuel Godoy'!AH17)</f>
        <v>0</v>
      </c>
      <c r="AF5" s="204">
        <f>IF('Manuel Godoy'!AA17="","",'Manuel Godoy'!AA17)</f>
        <v>0</v>
      </c>
      <c r="AG5" s="204" t="str">
        <f>'Manuel Godoy'!AB17</f>
        <v>Italia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 t="e">
        <f t="array" ref="AJ5">MATCH(AB5 &amp; AG5,$V$4:$V$11 &amp; $AA$4:$AA$11,0)</f>
        <v>#N/A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>
        <f t="shared" ref="AV5:AV19" si="23">IF($AR$1="NO",AC5,SUM(AC5:AD5))</f>
        <v>0</v>
      </c>
      <c r="AW5" s="195">
        <f t="shared" ref="AW5:AW19" si="24">IF($AR$1="NO",AF5,SUM(AE5:AF5))</f>
        <v>0</v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 x14ac:dyDescent="0.25">
      <c r="A6" s="198" t="str">
        <f>Quiniela!B20</f>
        <v>Croacia</v>
      </c>
      <c r="B6" s="198" t="str">
        <f>IF(Quiniela!C20="","",Quiniela!C20)</f>
        <v/>
      </c>
      <c r="C6" s="198" t="s">
        <v>24</v>
      </c>
      <c r="D6" s="198" t="str">
        <f>IF(Quiniela!E20="","",Quiniela!E20)</f>
        <v/>
      </c>
      <c r="E6" s="198" t="str">
        <f>Quiniela!F20</f>
        <v>México</v>
      </c>
      <c r="F6" s="195"/>
      <c r="G6" s="195" t="str">
        <f>E3</f>
        <v>Camerún</v>
      </c>
      <c r="H6" s="195" t="str">
        <f>IF(Quiniela!N19="","",Quiniela!N19)</f>
        <v/>
      </c>
      <c r="I6" s="195"/>
      <c r="J6" s="202" t="str">
        <v>Croacia</v>
      </c>
      <c r="K6" s="198">
        <v>1</v>
      </c>
      <c r="L6" s="198">
        <v>0</v>
      </c>
      <c r="M6" s="198">
        <v>0</v>
      </c>
      <c r="N6" s="198">
        <v>1</v>
      </c>
      <c r="O6" s="198">
        <v>1</v>
      </c>
      <c r="P6" s="198">
        <v>3</v>
      </c>
      <c r="Q6" s="198">
        <v>-2</v>
      </c>
      <c r="R6" s="198">
        <v>0</v>
      </c>
      <c r="S6" s="203">
        <v>4801000000</v>
      </c>
      <c r="T6" s="196"/>
      <c r="U6" s="204">
        <v>51</v>
      </c>
      <c r="V6" s="204" t="str">
        <f>IF(K11=0,"1ero Grupo B",J11)</f>
        <v>1ero Grupo B</v>
      </c>
      <c r="W6" s="204" t="str">
        <f>IF(Quiniela!Q18="","",Quiniela!Q18)</f>
        <v/>
      </c>
      <c r="X6" s="204">
        <f>Quiniela!R18</f>
        <v>0</v>
      </c>
      <c r="Y6" s="204">
        <f>Quiniela!T18</f>
        <v>0</v>
      </c>
      <c r="Z6" s="204" t="str">
        <f>IF(Quiniela!U18="","",Quiniela!U18)</f>
        <v/>
      </c>
      <c r="AA6" s="204" t="str">
        <f>IF(K4=0,"2do Grupo A",J4)</f>
        <v>2do Grupo A</v>
      </c>
      <c r="AB6" s="204" t="str">
        <f>'Manuel Godoy'!X18</f>
        <v>España</v>
      </c>
      <c r="AC6" s="204">
        <f>IF('Manuel Godoy'!Y18="","",'Manuel Godoy'!Y18)</f>
        <v>1</v>
      </c>
      <c r="AD6" s="204">
        <f>IF('Manuel Godoy'!AG18="","",'Manuel Godoy'!AG18)</f>
        <v>0</v>
      </c>
      <c r="AE6" s="204">
        <f>IF('Manuel Godoy'!AH18="","",'Manuel Godoy'!AH18)</f>
        <v>0</v>
      </c>
      <c r="AF6" s="204">
        <f>IF('Manuel Godoy'!AA18="","",'Manuel Godoy'!AA18)</f>
        <v>0</v>
      </c>
      <c r="AG6" s="204" t="str">
        <f>'Manuel Godoy'!AB18</f>
        <v>Croacia</v>
      </c>
      <c r="AH6" s="204" t="str">
        <f t="shared" si="16"/>
        <v/>
      </c>
      <c r="AI6" s="204" t="str">
        <f>IF(SUM($W6:$X6)&gt;SUM($Y6:$Z6),AA6,IF(SUM($W6:$X6)&lt;SUM($Y6:$Z6),V6,""))</f>
        <v/>
      </c>
      <c r="AJ6" s="196" t="e">
        <f t="array" ref="AJ6">MATCH(AB6 &amp; AG6,$V$4:$V$11 &amp; $AA$4:$AA$11,0)</f>
        <v>#N/A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>
        <f t="shared" si="23"/>
        <v>1</v>
      </c>
      <c r="AW6" s="195">
        <f t="shared" si="24"/>
        <v>0</v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 x14ac:dyDescent="0.25">
      <c r="A7" s="198" t="str">
        <f>Quiniela!B21</f>
        <v>Camerún</v>
      </c>
      <c r="B7" s="198" t="str">
        <f>IF(Quiniela!C21="","",Quiniela!C21)</f>
        <v/>
      </c>
      <c r="C7" s="198" t="s">
        <v>24</v>
      </c>
      <c r="D7" s="198" t="str">
        <f>IF(Quiniela!E21="","",Quiniela!E21)</f>
        <v/>
      </c>
      <c r="E7" s="198" t="str">
        <f>Quiniela!F21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IF(Quiniela!Q19="","",Quiniela!Q19)</f>
        <v/>
      </c>
      <c r="X7" s="204">
        <f>Quiniela!R19</f>
        <v>0</v>
      </c>
      <c r="Y7" s="204">
        <f>Quiniela!T19</f>
        <v>0</v>
      </c>
      <c r="Z7" s="204" t="str">
        <f>IF(Quiniela!U19="","",Quiniela!U19)</f>
        <v/>
      </c>
      <c r="AA7" s="204" t="str">
        <f>IF(K20=0,"2do Grupo C",J20)</f>
        <v>2do Grupo C</v>
      </c>
      <c r="AB7" s="204" t="str">
        <f>'Manuel Godoy'!X19</f>
        <v>Uruguay</v>
      </c>
      <c r="AC7" s="204">
        <f>IF('Manuel Godoy'!Y19="","",'Manuel Godoy'!Y19)</f>
        <v>1</v>
      </c>
      <c r="AD7" s="204">
        <f>IF('Manuel Godoy'!AG19="","",'Manuel Godoy'!AG19)</f>
        <v>0</v>
      </c>
      <c r="AE7" s="204">
        <f>IF('Manuel Godoy'!AH19="","",'Manuel Godoy'!AH19)</f>
        <v>0</v>
      </c>
      <c r="AF7" s="204">
        <f>IF('Manuel Godoy'!AA19="","",'Manuel Godoy'!AA19)</f>
        <v>0</v>
      </c>
      <c r="AG7" s="204" t="str">
        <f>'Manuel Godoy'!AB19</f>
        <v>Costa de Marfil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 t="e">
        <f t="array" ref="AJ7">MATCH(AB7 &amp; AG7,$V$4:$V$11 &amp; $AA$4:$AA$11,0)</f>
        <v>#N/A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>
        <f t="shared" si="23"/>
        <v>1</v>
      </c>
      <c r="AW7" s="195">
        <f t="shared" si="24"/>
        <v>0</v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 x14ac:dyDescent="0.25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IF(Quiniela!Q20="","",Quiniela!Q20)</f>
        <v/>
      </c>
      <c r="X8" s="204">
        <f>Quiniela!R20</f>
        <v>0</v>
      </c>
      <c r="Y8" s="204">
        <f>Quiniela!T20</f>
        <v>0</v>
      </c>
      <c r="Z8" s="204" t="str">
        <f>IF(Quiniela!U20="","",Quiniela!U20)</f>
        <v/>
      </c>
      <c r="AA8" s="204" t="str">
        <f>IF(K44=0,"2do Grupo F",J44)</f>
        <v>2do Grupo F</v>
      </c>
      <c r="AB8" s="204" t="str">
        <f>'Manuel Godoy'!X20</f>
        <v>Ecuador</v>
      </c>
      <c r="AC8" s="204">
        <f>IF('Manuel Godoy'!Y20="","",'Manuel Godoy'!Y20)</f>
        <v>4</v>
      </c>
      <c r="AD8" s="204">
        <f>IF('Manuel Godoy'!AG20="","",'Manuel Godoy'!AG20)</f>
        <v>0</v>
      </c>
      <c r="AE8" s="204">
        <f>IF('Manuel Godoy'!AH20="","",'Manuel Godoy'!AH20)</f>
        <v>0</v>
      </c>
      <c r="AF8" s="204">
        <f>IF('Manuel Godoy'!AA20="","",'Manuel Godoy'!AA20)</f>
        <v>3</v>
      </c>
      <c r="AG8" s="204" t="str">
        <f>'Manuel Godoy'!AB20</f>
        <v>Nigeria</v>
      </c>
      <c r="AH8" s="204" t="str">
        <f t="shared" si="16"/>
        <v/>
      </c>
      <c r="AI8" s="204" t="str">
        <f t="shared" si="26"/>
        <v/>
      </c>
      <c r="AJ8" s="196" t="e">
        <f t="array" ref="AJ8">MATCH(AB8 &amp; AG8,$V$4:$V$11 &amp; $AA$4:$AA$11,0)</f>
        <v>#N/A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>
        <f t="shared" si="23"/>
        <v>4</v>
      </c>
      <c r="AW8" s="195">
        <f t="shared" si="24"/>
        <v>3</v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 x14ac:dyDescent="0.25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IF(Quiniela!Q21="","",Quiniela!Q21)</f>
        <v/>
      </c>
      <c r="X9" s="204">
        <f>Quiniela!R21</f>
        <v>0</v>
      </c>
      <c r="Y9" s="204">
        <f>Quiniela!T21</f>
        <v>0</v>
      </c>
      <c r="Z9" s="204" t="str">
        <f>IF(Quiniela!U21="","",Quiniela!U21)</f>
        <v/>
      </c>
      <c r="AA9" s="204" t="str">
        <f>IF(K60=0,"2do Grupo H",J60)</f>
        <v>2do Grupo H</v>
      </c>
      <c r="AB9" s="204" t="str">
        <f>'Manuel Godoy'!X21</f>
        <v>Alemania</v>
      </c>
      <c r="AC9" s="204">
        <f>IF('Manuel Godoy'!Y21="","",'Manuel Godoy'!Y21)</f>
        <v>3</v>
      </c>
      <c r="AD9" s="204">
        <f>IF('Manuel Godoy'!AG21="","",'Manuel Godoy'!AG21)</f>
        <v>0</v>
      </c>
      <c r="AE9" s="204">
        <f>IF('Manuel Godoy'!AH21="","",'Manuel Godoy'!AH21)</f>
        <v>0</v>
      </c>
      <c r="AF9" s="204">
        <f>IF('Manuel Godoy'!AA21="","",'Manuel Godoy'!AA21)</f>
        <v>0</v>
      </c>
      <c r="AG9" s="204" t="str">
        <f>'Manuel Godoy'!AB21</f>
        <v>Argelia</v>
      </c>
      <c r="AH9" s="204" t="str">
        <f t="shared" si="16"/>
        <v/>
      </c>
      <c r="AI9" s="204" t="str">
        <f t="shared" si="26"/>
        <v/>
      </c>
      <c r="AJ9" s="196" t="e">
        <f t="array" ref="AJ9">MATCH(AB9 &amp; AG9,$V$4:$V$11 &amp; $AA$4:$AA$11,0)</f>
        <v>#N/A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>
        <f t="shared" si="23"/>
        <v>3</v>
      </c>
      <c r="AW9" s="195">
        <f t="shared" si="24"/>
        <v>0</v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 x14ac:dyDescent="0.25">
      <c r="A10" s="198" t="str">
        <f>Quiniela!B27</f>
        <v>España</v>
      </c>
      <c r="B10" s="198" t="str">
        <f>IF(Quiniela!C27="","",Quiniela!C27)</f>
        <v/>
      </c>
      <c r="C10" s="198" t="s">
        <v>24</v>
      </c>
      <c r="D10" s="198" t="str">
        <f>IF(Quiniela!E27="","",Quiniela!E27)</f>
        <v/>
      </c>
      <c r="E10" s="198" t="str">
        <f>Quiniela!F27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IF(Quiniela!Q22="","",Quiniela!Q22)</f>
        <v/>
      </c>
      <c r="X10" s="204">
        <f>Quiniela!R22</f>
        <v>0</v>
      </c>
      <c r="Y10" s="204">
        <f>Quiniela!T22</f>
        <v>0</v>
      </c>
      <c r="Z10" s="204" t="str">
        <f>IF(Quiniela!U22="","",Quiniela!U22)</f>
        <v/>
      </c>
      <c r="AA10" s="204" t="str">
        <f>IF(K36=0,"2do Grupo E",J36)</f>
        <v>2do Grupo E</v>
      </c>
      <c r="AB10" s="204" t="str">
        <f>'Manuel Godoy'!X22</f>
        <v>Argentina</v>
      </c>
      <c r="AC10" s="204">
        <f>IF('Manuel Godoy'!Y22="","",'Manuel Godoy'!Y22)</f>
        <v>1</v>
      </c>
      <c r="AD10" s="204">
        <f>IF('Manuel Godoy'!AG22="","",'Manuel Godoy'!AG22)</f>
        <v>0</v>
      </c>
      <c r="AE10" s="204">
        <f>IF('Manuel Godoy'!AH22="","",'Manuel Godoy'!AH22)</f>
        <v>0</v>
      </c>
      <c r="AF10" s="204">
        <f>IF('Manuel Godoy'!AA22="","",'Manuel Godoy'!AA22)</f>
        <v>0</v>
      </c>
      <c r="AG10" s="204" t="str">
        <f>'Manuel Godoy'!AB22</f>
        <v>Francia</v>
      </c>
      <c r="AH10" s="204" t="str">
        <f t="shared" si="16"/>
        <v/>
      </c>
      <c r="AI10" s="204" t="str">
        <f t="shared" si="26"/>
        <v/>
      </c>
      <c r="AJ10" s="196" t="e">
        <f t="array" ref="AJ10">MATCH(AB10 &amp; AG10,$V$4:$V$11 &amp; $AA$4:$AA$11,0)</f>
        <v>#N/A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>
        <f t="shared" si="23"/>
        <v>1</v>
      </c>
      <c r="AW10" s="195">
        <f t="shared" si="24"/>
        <v>0</v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 x14ac:dyDescent="0.25">
      <c r="A11" s="198" t="str">
        <f>Quiniela!B28</f>
        <v>Chile</v>
      </c>
      <c r="B11" s="198" t="str">
        <f>IF(Quiniela!C28="","",Quiniela!C28)</f>
        <v/>
      </c>
      <c r="C11" s="198" t="s">
        <v>24</v>
      </c>
      <c r="D11" s="198" t="str">
        <f>IF(Quiniela!E28="","",Quiniela!E28)</f>
        <v/>
      </c>
      <c r="E11" s="198" t="str">
        <f>Quiniela!F28</f>
        <v>Australia</v>
      </c>
      <c r="F11" s="195"/>
      <c r="G11" s="195" t="str">
        <f>A10</f>
        <v>España</v>
      </c>
      <c r="H11" s="195" t="str">
        <f>IF(Quiniela!N27="","",Quiniela!N27)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IF(Quiniela!Q23="","",Quiniela!Q23)</f>
        <v/>
      </c>
      <c r="X11" s="204">
        <f>Quiniela!R23</f>
        <v>0</v>
      </c>
      <c r="Y11" s="204">
        <f>Quiniela!T23</f>
        <v>0</v>
      </c>
      <c r="Z11" s="204" t="str">
        <f>IF(Quiniela!U23="","",Quiniela!U23)</f>
        <v/>
      </c>
      <c r="AA11" s="204" t="str">
        <f>IF(K52=0,"2do Grupo G",J52)</f>
        <v>2do Grupo G</v>
      </c>
      <c r="AB11" s="204" t="str">
        <f>'Manuel Godoy'!X23</f>
        <v>Bélgica</v>
      </c>
      <c r="AC11" s="204">
        <f>IF('Manuel Godoy'!Y23="","",'Manuel Godoy'!Y23)</f>
        <v>2</v>
      </c>
      <c r="AD11" s="204">
        <f>IF('Manuel Godoy'!AG23="","",'Manuel Godoy'!AG23)</f>
        <v>0</v>
      </c>
      <c r="AE11" s="204">
        <f>IF('Manuel Godoy'!AH23="","",'Manuel Godoy'!AH23)</f>
        <v>0</v>
      </c>
      <c r="AF11" s="204">
        <f>IF('Manuel Godoy'!AA23="","",'Manuel Godoy'!AA23)</f>
        <v>1</v>
      </c>
      <c r="AG11" s="204" t="str">
        <f>'Manuel Godoy'!AB23</f>
        <v>Portugal</v>
      </c>
      <c r="AH11" s="204" t="str">
        <f t="shared" si="16"/>
        <v/>
      </c>
      <c r="AI11" s="204" t="str">
        <f t="shared" si="26"/>
        <v/>
      </c>
      <c r="AJ11" s="196" t="e">
        <f t="array" ref="AJ11">MATCH(AB11 &amp; AG11,$V$4:$V$11 &amp; $AA$4:$AA$11,0)</f>
        <v>#N/A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>
        <f t="shared" si="23"/>
        <v>2</v>
      </c>
      <c r="AW11" s="195">
        <f t="shared" si="24"/>
        <v>1</v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 x14ac:dyDescent="0.25">
      <c r="A12" s="198" t="str">
        <f>Quiniela!B29</f>
        <v>Australia</v>
      </c>
      <c r="B12" s="198" t="str">
        <f>IF(Quiniela!C29="","",Quiniela!C29)</f>
        <v/>
      </c>
      <c r="C12" s="198" t="s">
        <v>24</v>
      </c>
      <c r="D12" s="198" t="str">
        <f>IF(Quiniela!E29="","",Quiniela!E29)</f>
        <v/>
      </c>
      <c r="E12" s="198" t="str">
        <f>Quiniela!F29</f>
        <v>Países Bajos</v>
      </c>
      <c r="F12" s="195"/>
      <c r="G12" s="195" t="str">
        <f>E10</f>
        <v>Países Bajos</v>
      </c>
      <c r="H12" s="195" t="str">
        <f>IF(Quiniela!N28="","",Quiniela!N28)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IF(Quiniela!Q30="","",Quiniela!Q30)</f>
        <v/>
      </c>
      <c r="X12" s="195">
        <f>Quiniela!R30</f>
        <v>0</v>
      </c>
      <c r="Y12" s="195">
        <f>Quiniela!T30</f>
        <v>0</v>
      </c>
      <c r="Z12" s="195" t="str">
        <f>IF(Quiniela!U30="","",Quiniela!U30)</f>
        <v/>
      </c>
      <c r="AA12" s="195" t="str">
        <f>IF(OR(W5="",Z5=""),"OF2",IF((W5+X5)&gt;(Y5+Z5),V5,AA5))</f>
        <v>OF2</v>
      </c>
      <c r="AB12" s="204" t="str">
        <f>'Manuel Godoy'!X30</f>
        <v>Brasil</v>
      </c>
      <c r="AC12" s="195">
        <f>IF('Manuel Godoy'!Y30="","",'Manuel Godoy'!Y30)</f>
        <v>1</v>
      </c>
      <c r="AD12" s="195">
        <f>IF('Manuel Godoy'!AG30="","",'Manuel Godoy'!AG30)</f>
        <v>0</v>
      </c>
      <c r="AE12" s="195">
        <f>IF('Manuel Godoy'!AH30="","",'Manuel Godoy'!AH30)</f>
        <v>0</v>
      </c>
      <c r="AF12" s="195">
        <f>IF('Manuel Godoy'!AA30="","",'Manuel Godoy'!AA30)</f>
        <v>0</v>
      </c>
      <c r="AG12" s="195" t="str">
        <f>'Manuel Godoy'!AB30</f>
        <v>Colombia</v>
      </c>
      <c r="AH12" s="195" t="str">
        <f t="shared" si="16"/>
        <v/>
      </c>
      <c r="AI12" s="195" t="str">
        <f t="shared" si="26"/>
        <v/>
      </c>
      <c r="AJ12" s="196" t="e">
        <f t="array" ref="AJ12">MATCH(AB12 &amp; AG12,$V$12:$V$15 &amp; $AA$12:$AA$15,0)</f>
        <v>#N/A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>
        <f t="shared" si="23"/>
        <v>1</v>
      </c>
      <c r="AW12" s="195">
        <f t="shared" si="24"/>
        <v>0</v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 x14ac:dyDescent="0.25">
      <c r="A13" s="198" t="str">
        <f>Quiniela!B30</f>
        <v>España</v>
      </c>
      <c r="B13" s="198" t="str">
        <f>IF(Quiniela!C30="","",Quiniela!C30)</f>
        <v/>
      </c>
      <c r="C13" s="198" t="s">
        <v>24</v>
      </c>
      <c r="D13" s="198" t="str">
        <f>IF(Quiniela!E30="","",Quiniela!E30)</f>
        <v/>
      </c>
      <c r="E13" s="198" t="str">
        <f>Quiniela!F30</f>
        <v>Chile</v>
      </c>
      <c r="F13" s="195"/>
      <c r="G13" s="195" t="str">
        <f>A11</f>
        <v>Chile</v>
      </c>
      <c r="H13" s="195" t="str">
        <f>IF(Quiniela!N29="","",Quiniela!N29)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IF(Quiniela!Q31="","",Quiniela!Q31)</f>
        <v/>
      </c>
      <c r="X13" s="195">
        <f>Quiniela!R31</f>
        <v>0</v>
      </c>
      <c r="Y13" s="195">
        <f>Quiniela!T31</f>
        <v>0</v>
      </c>
      <c r="Z13" s="195" t="str">
        <f>IF(Quiniela!U31="","",Quiniela!U31)</f>
        <v/>
      </c>
      <c r="AA13" s="195" t="str">
        <f>IF(OR(W9="",Z9=""),"OF6",IF((W9+X9)&gt;(Y9+Z9),V9,AA9))</f>
        <v>OF6</v>
      </c>
      <c r="AB13" s="204" t="str">
        <f>'Manuel Godoy'!X31</f>
        <v>Ecuador</v>
      </c>
      <c r="AC13" s="195">
        <f>IF('Manuel Godoy'!Y31="","",'Manuel Godoy'!Y31)</f>
        <v>1</v>
      </c>
      <c r="AD13" s="195">
        <f>IF('Manuel Godoy'!AG31="","",'Manuel Godoy'!AG31)</f>
        <v>0</v>
      </c>
      <c r="AE13" s="195">
        <f>IF('Manuel Godoy'!AH31="","",'Manuel Godoy'!AH31)</f>
        <v>0</v>
      </c>
      <c r="AF13" s="195">
        <f>IF('Manuel Godoy'!AA31="","",'Manuel Godoy'!AA31)</f>
        <v>3</v>
      </c>
      <c r="AG13" s="195" t="str">
        <f>'Manuel Godoy'!AB31</f>
        <v>Alemania</v>
      </c>
      <c r="AH13" s="195" t="str">
        <f t="shared" si="16"/>
        <v/>
      </c>
      <c r="AI13" s="195" t="str">
        <f t="shared" si="26"/>
        <v/>
      </c>
      <c r="AJ13" s="196" t="e">
        <f t="array" ref="AJ13">MATCH(AB13 &amp; AG13,$V$12:$V$15 &amp; $AA$12:$AA$15,0)</f>
        <v>#N/A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>
        <f t="shared" si="23"/>
        <v>1</v>
      </c>
      <c r="AW13" s="195">
        <f t="shared" si="24"/>
        <v>3</v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 x14ac:dyDescent="0.25">
      <c r="A14" s="198" t="str">
        <f>Quiniela!B31</f>
        <v>Australia</v>
      </c>
      <c r="B14" s="198" t="str">
        <f>IF(Quiniela!C31="","",Quiniela!C31)</f>
        <v/>
      </c>
      <c r="C14" s="198" t="s">
        <v>24</v>
      </c>
      <c r="D14" s="198" t="str">
        <f>IF(Quiniela!E31="","",Quiniela!E31)</f>
        <v/>
      </c>
      <c r="E14" s="198" t="str">
        <f>Quiniela!F31</f>
        <v>España</v>
      </c>
      <c r="F14" s="195"/>
      <c r="G14" s="195" t="str">
        <f>E11</f>
        <v>Australia</v>
      </c>
      <c r="H14" s="195" t="str">
        <f>IF(Quiniela!N30="","",Quiniela!N30)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IF(Quiniela!Q32="","",Quiniela!Q32)</f>
        <v/>
      </c>
      <c r="X14" s="195">
        <f>Quiniela!R32</f>
        <v>0</v>
      </c>
      <c r="Y14" s="195">
        <f>Quiniela!T32</f>
        <v>0</v>
      </c>
      <c r="Z14" s="195" t="str">
        <f>IF(Quiniela!U32="","",Quiniela!U32)</f>
        <v/>
      </c>
      <c r="AA14" s="195" t="str">
        <f>IF(OR(W7="",Z7=""),"OF4",IF((W7+X7)&gt;(Y7+Z7),V7,AA7))</f>
        <v>OF4</v>
      </c>
      <c r="AB14" s="204" t="str">
        <f>'Manuel Godoy'!X32</f>
        <v>España</v>
      </c>
      <c r="AC14" s="195">
        <f>IF('Manuel Godoy'!Y32="","",'Manuel Godoy'!Y32)</f>
        <v>1</v>
      </c>
      <c r="AD14" s="195">
        <f>IF('Manuel Godoy'!AG32="","",'Manuel Godoy'!AG32)</f>
        <v>0</v>
      </c>
      <c r="AE14" s="195">
        <f>IF('Manuel Godoy'!AH32="","",'Manuel Godoy'!AH32)</f>
        <v>0</v>
      </c>
      <c r="AF14" s="195">
        <f>IF('Manuel Godoy'!AA32="","",'Manuel Godoy'!AA32)</f>
        <v>0</v>
      </c>
      <c r="AG14" s="195" t="str">
        <f>'Manuel Godoy'!AB32</f>
        <v>Uruguay</v>
      </c>
      <c r="AH14" s="195" t="str">
        <f t="shared" si="16"/>
        <v/>
      </c>
      <c r="AI14" s="195" t="str">
        <f t="shared" si="26"/>
        <v/>
      </c>
      <c r="AJ14" s="196" t="e">
        <f t="array" ref="AJ14">MATCH(AB14 &amp; AG14,$V$12:$V$15 &amp; $AA$12:$AA$15,0)</f>
        <v>#N/A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>
        <f t="shared" si="23"/>
        <v>1</v>
      </c>
      <c r="AW14" s="195">
        <f t="shared" si="24"/>
        <v>0</v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 x14ac:dyDescent="0.25">
      <c r="A15" s="198" t="str">
        <f>Quiniela!B32</f>
        <v>Países Bajos</v>
      </c>
      <c r="B15" s="198" t="str">
        <f>IF(Quiniela!C32="","",Quiniela!C32)</f>
        <v/>
      </c>
      <c r="C15" s="198" t="s">
        <v>24</v>
      </c>
      <c r="D15" s="198" t="str">
        <f>IF(Quiniela!E32="","",Quiniela!E32)</f>
        <v/>
      </c>
      <c r="E15" s="198" t="str">
        <f>Quiniela!F32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IF(Quiniela!Q33="","",Quiniela!Q33)</f>
        <v/>
      </c>
      <c r="X15" s="195">
        <f>Quiniela!R33</f>
        <v>0</v>
      </c>
      <c r="Y15" s="195">
        <f>Quiniela!T33</f>
        <v>0</v>
      </c>
      <c r="Z15" s="195" t="str">
        <f>IF(Quiniela!U33="","",Quiniela!U33)</f>
        <v/>
      </c>
      <c r="AA15" s="195" t="str">
        <f>IF(OR(W11="",Z11=""),"OF8",IF((W11+X11)&gt;(Y11+Z11),V11,AA11))</f>
        <v>OF8</v>
      </c>
      <c r="AB15" s="204" t="str">
        <f>'Manuel Godoy'!X33</f>
        <v>Argentina</v>
      </c>
      <c r="AC15" s="195">
        <f>IF('Manuel Godoy'!Y33="","",'Manuel Godoy'!Y33)</f>
        <v>2</v>
      </c>
      <c r="AD15" s="195">
        <f>IF('Manuel Godoy'!AG33="","",'Manuel Godoy'!AG33)</f>
        <v>0</v>
      </c>
      <c r="AE15" s="195">
        <f>IF('Manuel Godoy'!AH33="","",'Manuel Godoy'!AH33)</f>
        <v>0</v>
      </c>
      <c r="AF15" s="195">
        <f>IF('Manuel Godoy'!AA33="","",'Manuel Godoy'!AA33)</f>
        <v>0</v>
      </c>
      <c r="AG15" s="195" t="str">
        <f>'Manuel Godoy'!AB33</f>
        <v>Bélgica</v>
      </c>
      <c r="AH15" s="195" t="str">
        <f t="shared" si="16"/>
        <v/>
      </c>
      <c r="AI15" s="195" t="str">
        <f t="shared" si="26"/>
        <v/>
      </c>
      <c r="AJ15" s="196" t="e">
        <f t="array" ref="AJ15">MATCH(AB15 &amp; AG15,$V$12:$V$15 &amp; $AA$12:$AA$15,0)</f>
        <v>#N/A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>
        <f t="shared" si="23"/>
        <v>2</v>
      </c>
      <c r="AW15" s="195">
        <f t="shared" si="24"/>
        <v>0</v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 x14ac:dyDescent="0.25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IF(Quiniela!Q40="","",Quiniela!Q40)</f>
        <v/>
      </c>
      <c r="X16" s="204">
        <f>Quiniela!R40</f>
        <v>0</v>
      </c>
      <c r="Y16" s="204">
        <f>Quiniela!T40</f>
        <v>0</v>
      </c>
      <c r="Z16" s="204" t="str">
        <f>IF(Quiniela!U40="","",Quiniela!U40)</f>
        <v/>
      </c>
      <c r="AA16" s="204" t="str">
        <f>IF(OR(W13="",Z13=""),"CF2",IF((W13+X13)&gt;(Y13+Z13),V13,AA13))</f>
        <v>CF2</v>
      </c>
      <c r="AB16" s="204" t="str">
        <f>'Manuel Godoy'!X40</f>
        <v>Brasil</v>
      </c>
      <c r="AC16" s="204">
        <f>IF('Manuel Godoy'!Y40="","",'Manuel Godoy'!Y40)</f>
        <v>1</v>
      </c>
      <c r="AD16" s="204">
        <f>IF('Manuel Godoy'!AG40="","",'Manuel Godoy'!AG40)</f>
        <v>0</v>
      </c>
      <c r="AE16" s="204">
        <f>IF('Manuel Godoy'!AH40="","",'Manuel Godoy'!AH40)</f>
        <v>0</v>
      </c>
      <c r="AF16" s="204">
        <f>IF('Manuel Godoy'!AA40="","",'Manuel Godoy'!AA40)</f>
        <v>1</v>
      </c>
      <c r="AG16" s="204" t="str">
        <f>'Manuel Godoy'!AB40</f>
        <v>Alemania</v>
      </c>
      <c r="AH16" s="204" t="str">
        <f t="shared" si="16"/>
        <v/>
      </c>
      <c r="AI16" s="204" t="str">
        <f t="shared" si="26"/>
        <v/>
      </c>
      <c r="AJ16" s="196" t="e">
        <f t="array" ref="AJ16">MATCH(AB16 &amp; AG16,$V$16:$V$17 &amp; $AA$16:$AA$17,0)</f>
        <v>#N/A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>
        <f t="shared" si="23"/>
        <v>1</v>
      </c>
      <c r="AW16" s="195">
        <f t="shared" si="24"/>
        <v>1</v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 x14ac:dyDescent="0.25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IF(Quiniela!Q41="","",Quiniela!Q41)</f>
        <v/>
      </c>
      <c r="X17" s="204">
        <f>Quiniela!R41</f>
        <v>0</v>
      </c>
      <c r="Y17" s="204">
        <f>Quiniela!T41</f>
        <v>0</v>
      </c>
      <c r="Z17" s="204" t="str">
        <f>IF(Quiniela!U41="","",Quiniela!U41)</f>
        <v/>
      </c>
      <c r="AA17" s="204" t="str">
        <f>IF(OR(W15="",Z15=""),"CF4",IF((W15+X15)&gt;(Y15+Z15),V15,AA15))</f>
        <v>CF4</v>
      </c>
      <c r="AB17" s="204" t="str">
        <f>'Manuel Godoy'!X41</f>
        <v>España</v>
      </c>
      <c r="AC17" s="204">
        <f>IF('Manuel Godoy'!Y41="","",'Manuel Godoy'!Y41)</f>
        <v>1</v>
      </c>
      <c r="AD17" s="204">
        <f>IF('Manuel Godoy'!AG41="","",'Manuel Godoy'!AG41)</f>
        <v>0</v>
      </c>
      <c r="AE17" s="204">
        <f>IF('Manuel Godoy'!AH41="","",'Manuel Godoy'!AH41)</f>
        <v>0</v>
      </c>
      <c r="AF17" s="204">
        <f>IF('Manuel Godoy'!AA41="","",'Manuel Godoy'!AA41)</f>
        <v>2</v>
      </c>
      <c r="AG17" s="204" t="str">
        <f>'Manuel Godoy'!AB41</f>
        <v>Argentina</v>
      </c>
      <c r="AH17" s="204" t="str">
        <f t="shared" si="16"/>
        <v/>
      </c>
      <c r="AI17" s="204" t="str">
        <f t="shared" si="26"/>
        <v/>
      </c>
      <c r="AJ17" s="196" t="e">
        <f t="array" ref="AJ17">MATCH(AB17 &amp; AG17,$V$16:$V$17 &amp; $AA$16:$AA$17,0)</f>
        <v>#N/A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>
        <f t="shared" si="23"/>
        <v>1</v>
      </c>
      <c r="AW17" s="195">
        <f t="shared" si="24"/>
        <v>2</v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 x14ac:dyDescent="0.25">
      <c r="A18" s="198" t="str">
        <f>Quiniela!B38</f>
        <v>Colombia</v>
      </c>
      <c r="B18" s="198" t="str">
        <f>IF(Quiniela!C38="","",Quiniela!C38)</f>
        <v/>
      </c>
      <c r="C18" s="198" t="s">
        <v>24</v>
      </c>
      <c r="D18" s="198" t="str">
        <f>IF(Quiniela!E38="","",Quiniela!E38)</f>
        <v/>
      </c>
      <c r="E18" s="198" t="str">
        <f>Quiniela!F38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IF(Quiniela!Q48="","",Quiniela!Q48)</f>
        <v/>
      </c>
      <c r="X18" s="195">
        <f>Quiniela!R48</f>
        <v>0</v>
      </c>
      <c r="Y18" s="195">
        <f>Quiniela!T48</f>
        <v>0</v>
      </c>
      <c r="Z18" s="195" t="str">
        <f>IF(Quiniela!U48="","",Quiniela!U48)</f>
        <v/>
      </c>
      <c r="AA18" s="195" t="str">
        <f>IF(OR(W17="",Z17=""),"L-SF2",IF((W17+X17)&gt;(Y17+Z17),AA17,V17))</f>
        <v>L-SF2</v>
      </c>
      <c r="AB18" s="204" t="str">
        <f>'Manuel Godoy'!X48</f>
        <v>Alemania</v>
      </c>
      <c r="AC18" s="195">
        <f>IF('Manuel Godoy'!Y48="","",'Manuel Godoy'!Y48)</f>
        <v>3</v>
      </c>
      <c r="AD18" s="195">
        <f>IF('Manuel Godoy'!AG48="","",'Manuel Godoy'!AG48)</f>
        <v>0</v>
      </c>
      <c r="AE18" s="195">
        <f>IF('Manuel Godoy'!AH48="","",'Manuel Godoy'!AH48)</f>
        <v>0</v>
      </c>
      <c r="AF18" s="195">
        <f>IF('Manuel Godoy'!AA48="","",'Manuel Godoy'!AA48)</f>
        <v>2</v>
      </c>
      <c r="AG18" s="195" t="str">
        <f>'Manuel Godoy'!AB48</f>
        <v>España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>
        <f t="shared" si="23"/>
        <v>3</v>
      </c>
      <c r="AW18" s="195">
        <f t="shared" si="24"/>
        <v>2</v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 x14ac:dyDescent="0.25">
      <c r="A19" s="198" t="str">
        <f>Quiniela!B39</f>
        <v>Costa de Marfil</v>
      </c>
      <c r="B19" s="198" t="str">
        <f>IF(Quiniela!C39="","",Quiniela!C39)</f>
        <v/>
      </c>
      <c r="C19" s="198" t="s">
        <v>24</v>
      </c>
      <c r="D19" s="198" t="str">
        <f>IF(Quiniela!E39="","",Quiniela!E39)</f>
        <v/>
      </c>
      <c r="E19" s="198" t="str">
        <f>Quiniela!F39</f>
        <v>Japón</v>
      </c>
      <c r="F19" s="195"/>
      <c r="G19" s="195" t="str">
        <f>A18</f>
        <v>Colombia</v>
      </c>
      <c r="H19" s="195" t="str">
        <f>IF(Quiniela!N38="","",Quiniela!N38)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IF(Quiniela!Q55="","",Quiniela!Q55)</f>
        <v/>
      </c>
      <c r="X19" s="195">
        <f>Quiniela!R55</f>
        <v>0</v>
      </c>
      <c r="Y19" s="195">
        <f>Quiniela!T55</f>
        <v>0</v>
      </c>
      <c r="Z19" s="195" t="str">
        <f>IF(Quiniela!U55="","",Quiniela!U55)</f>
        <v/>
      </c>
      <c r="AA19" s="195" t="str">
        <f>IF(OR(W17="",Z17=""),"W-SF2",IF((W17+X17)&gt;(Y17+Z17),V17,AA17))</f>
        <v>W-SF2</v>
      </c>
      <c r="AB19" s="204" t="str">
        <f>'Manuel Godoy'!X55</f>
        <v>Brasil</v>
      </c>
      <c r="AC19" s="195">
        <f>IF('Manuel Godoy'!Y55="","",'Manuel Godoy'!Y55)</f>
        <v>3</v>
      </c>
      <c r="AD19" s="195">
        <f>IF('Manuel Godoy'!AG55="","",'Manuel Godoy'!AG55)</f>
        <v>0</v>
      </c>
      <c r="AE19" s="195">
        <f>IF('Manuel Godoy'!AH55="","",'Manuel Godoy'!AH55)</f>
        <v>0</v>
      </c>
      <c r="AF19" s="195">
        <f>IF('Manuel Godoy'!AA55="","",'Manuel Godoy'!AA55)</f>
        <v>0</v>
      </c>
      <c r="AG19" s="195" t="str">
        <f>'Manuel Godoy'!AB55</f>
        <v>Argentina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>
        <f t="shared" si="23"/>
        <v>3</v>
      </c>
      <c r="AW19" s="195">
        <f t="shared" si="24"/>
        <v>0</v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 x14ac:dyDescent="0.25">
      <c r="A20" s="198" t="str">
        <f>Quiniela!B40</f>
        <v>Colombia</v>
      </c>
      <c r="B20" s="198" t="str">
        <f>IF(Quiniela!C40="","",Quiniela!C40)</f>
        <v/>
      </c>
      <c r="C20" s="198" t="s">
        <v>24</v>
      </c>
      <c r="D20" s="198" t="str">
        <f>IF(Quiniela!E40="","",Quiniela!E40)</f>
        <v/>
      </c>
      <c r="E20" s="198" t="str">
        <f>Quiniela!F40</f>
        <v>Costa de Marfil</v>
      </c>
      <c r="F20" s="195"/>
      <c r="G20" s="195" t="str">
        <f>E18</f>
        <v>Grecia</v>
      </c>
      <c r="H20" s="195" t="str">
        <f>IF(Quiniela!N39="","",Quiniela!N39)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 x14ac:dyDescent="0.25">
      <c r="A21" s="198" t="str">
        <f>Quiniela!B41</f>
        <v>Japón</v>
      </c>
      <c r="B21" s="198" t="str">
        <f>IF(Quiniela!C41="","",Quiniela!C41)</f>
        <v/>
      </c>
      <c r="C21" s="198" t="s">
        <v>24</v>
      </c>
      <c r="D21" s="198" t="str">
        <f>IF(Quiniela!E41="","",Quiniela!E41)</f>
        <v/>
      </c>
      <c r="E21" s="198" t="str">
        <f>Quiniela!F41</f>
        <v>Grecia</v>
      </c>
      <c r="F21" s="195"/>
      <c r="G21" s="195" t="str">
        <f>A19</f>
        <v>Costa de Marfil</v>
      </c>
      <c r="H21" s="195" t="str">
        <f>IF(Quiniela!N40="","",Quiniela!N40)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 x14ac:dyDescent="0.25">
      <c r="A22" s="198" t="str">
        <f>Quiniela!B42</f>
        <v>Japón</v>
      </c>
      <c r="B22" s="198" t="str">
        <f>IF(Quiniela!C42="","",Quiniela!C42)</f>
        <v/>
      </c>
      <c r="C22" s="198" t="s">
        <v>24</v>
      </c>
      <c r="D22" s="198" t="str">
        <f>IF(Quiniela!E42="","",Quiniela!E42)</f>
        <v/>
      </c>
      <c r="E22" s="198" t="str">
        <f>Quiniela!F42</f>
        <v>Colombia</v>
      </c>
      <c r="F22" s="195"/>
      <c r="G22" s="195" t="str">
        <f>E19</f>
        <v>Japón</v>
      </c>
      <c r="H22" s="195" t="str">
        <f>IF(Quiniela!N41="","",Quiniela!N41)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 x14ac:dyDescent="0.25">
      <c r="A23" s="198" t="str">
        <f>Quiniela!B43</f>
        <v>Grecia</v>
      </c>
      <c r="B23" s="198" t="str">
        <f>IF(Quiniela!C43="","",Quiniela!C43)</f>
        <v/>
      </c>
      <c r="C23" s="198" t="s">
        <v>24</v>
      </c>
      <c r="D23" s="198" t="str">
        <f>IF(Quiniela!E43="","",Quiniela!E43)</f>
        <v/>
      </c>
      <c r="E23" s="198" t="str">
        <f>Quiniela!F43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 x14ac:dyDescent="0.25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 x14ac:dyDescent="0.25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 x14ac:dyDescent="0.25">
      <c r="A26" s="198" t="str">
        <f>Quiniela!B49</f>
        <v>Uruguay</v>
      </c>
      <c r="B26" s="198" t="str">
        <f>IF(Quiniela!C49="","",Quiniela!C49)</f>
        <v/>
      </c>
      <c r="C26" s="198" t="s">
        <v>24</v>
      </c>
      <c r="D26" s="198" t="str">
        <f>IF(Quiniela!E49="","",Quiniela!E49)</f>
        <v/>
      </c>
      <c r="E26" s="198" t="str">
        <f>Quiniela!F49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 x14ac:dyDescent="0.25">
      <c r="A27" s="198" t="str">
        <f>Quiniela!B50</f>
        <v>Inglaterra</v>
      </c>
      <c r="B27" s="198" t="str">
        <f>IF(Quiniela!C50="","",Quiniela!C50)</f>
        <v/>
      </c>
      <c r="C27" s="198" t="s">
        <v>24</v>
      </c>
      <c r="D27" s="198" t="str">
        <f>IF(Quiniela!E50="","",Quiniela!E50)</f>
        <v/>
      </c>
      <c r="E27" s="198" t="str">
        <f>Quiniela!F50</f>
        <v>Italia</v>
      </c>
      <c r="F27" s="195"/>
      <c r="G27" s="195" t="str">
        <f>A26</f>
        <v>Uruguay</v>
      </c>
      <c r="H27" s="195" t="str">
        <f>IF(Quiniela!N49="","",Quiniela!N49)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 x14ac:dyDescent="0.25">
      <c r="A28" s="198" t="str">
        <f>Quiniela!B51</f>
        <v>Uruguay</v>
      </c>
      <c r="B28" s="198" t="str">
        <f>IF(Quiniela!C51="","",Quiniela!C51)</f>
        <v/>
      </c>
      <c r="C28" s="198" t="s">
        <v>24</v>
      </c>
      <c r="D28" s="198" t="str">
        <f>IF(Quiniela!E51="","",Quiniela!E51)</f>
        <v/>
      </c>
      <c r="E28" s="198" t="str">
        <f>Quiniela!F51</f>
        <v>Inglaterra</v>
      </c>
      <c r="F28" s="195"/>
      <c r="G28" s="195" t="str">
        <f>E26</f>
        <v>Costa Rica</v>
      </c>
      <c r="H28" s="195" t="str">
        <f>IF(Quiniela!N50="","",Quiniela!N50)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 x14ac:dyDescent="0.25">
      <c r="A29" s="198" t="str">
        <f>Quiniela!B52</f>
        <v>Italia</v>
      </c>
      <c r="B29" s="198" t="str">
        <f>IF(Quiniela!C52="","",Quiniela!C52)</f>
        <v/>
      </c>
      <c r="C29" s="198" t="s">
        <v>24</v>
      </c>
      <c r="D29" s="198" t="str">
        <f>IF(Quiniela!E52="","",Quiniela!E52)</f>
        <v/>
      </c>
      <c r="E29" s="198" t="str">
        <f>Quiniela!F52</f>
        <v>Costa Rica</v>
      </c>
      <c r="F29" s="195"/>
      <c r="G29" s="195" t="str">
        <f>A27</f>
        <v>Inglaterra</v>
      </c>
      <c r="H29" s="195" t="str">
        <f>IF(Quiniela!N51="","",Quiniela!N51)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 x14ac:dyDescent="0.25">
      <c r="A30" s="198" t="str">
        <f>Quiniela!B53</f>
        <v>Italia</v>
      </c>
      <c r="B30" s="198" t="str">
        <f>IF(Quiniela!C53="","",Quiniela!C53)</f>
        <v/>
      </c>
      <c r="C30" s="198" t="s">
        <v>24</v>
      </c>
      <c r="D30" s="198" t="str">
        <f>IF(Quiniela!E53="","",Quiniela!E53)</f>
        <v/>
      </c>
      <c r="E30" s="198" t="str">
        <f>Quiniela!F53</f>
        <v>Uruguay</v>
      </c>
      <c r="F30" s="195"/>
      <c r="G30" s="195" t="str">
        <f>E27</f>
        <v>Italia</v>
      </c>
      <c r="H30" s="195" t="str">
        <f>IF(Quiniela!N52="","",Quiniela!N52)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 x14ac:dyDescent="0.25">
      <c r="A31" s="198" t="str">
        <f>Quiniela!B54</f>
        <v>Costa Rica</v>
      </c>
      <c r="B31" s="198" t="str">
        <f>IF(Quiniela!C54="","",Quiniela!C54)</f>
        <v/>
      </c>
      <c r="C31" s="198" t="s">
        <v>24</v>
      </c>
      <c r="D31" s="198" t="str">
        <f>IF(Quiniela!E54="","",Quiniela!E54)</f>
        <v/>
      </c>
      <c r="E31" s="198" t="str">
        <f>Quiniela!F54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 x14ac:dyDescent="0.25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 x14ac:dyDescent="0.25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 x14ac:dyDescent="0.25">
      <c r="A34" s="198" t="str">
        <f>Quiniela!B60</f>
        <v>Suiza</v>
      </c>
      <c r="B34" s="198" t="str">
        <f>IF(Quiniela!C60="","",Quiniela!C60)</f>
        <v/>
      </c>
      <c r="C34" s="198" t="s">
        <v>24</v>
      </c>
      <c r="D34" s="198" t="str">
        <f>IF(Quiniela!E60="","",Quiniela!E60)</f>
        <v/>
      </c>
      <c r="E34" s="198" t="str">
        <f>Quiniela!F60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 x14ac:dyDescent="0.25">
      <c r="A35" s="198" t="str">
        <f>Quiniela!B61</f>
        <v>Francia</v>
      </c>
      <c r="B35" s="198" t="str">
        <f>IF(Quiniela!C61="","",Quiniela!C61)</f>
        <v/>
      </c>
      <c r="C35" s="198" t="s">
        <v>24</v>
      </c>
      <c r="D35" s="198" t="str">
        <f>IF(Quiniela!E61="","",Quiniela!E61)</f>
        <v/>
      </c>
      <c r="E35" s="198" t="str">
        <f>Quiniela!F61</f>
        <v>Honduras</v>
      </c>
      <c r="F35" s="195"/>
      <c r="G35" s="195" t="str">
        <f>A34</f>
        <v>Suiza</v>
      </c>
      <c r="H35" s="195" t="str">
        <f>IF(Quiniela!N60="","",Quiniela!N60)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 x14ac:dyDescent="0.25">
      <c r="A36" s="198" t="str">
        <f>Quiniela!B62</f>
        <v>Suiza</v>
      </c>
      <c r="B36" s="198" t="str">
        <f>IF(Quiniela!C62="","",Quiniela!C62)</f>
        <v/>
      </c>
      <c r="C36" s="198" t="s">
        <v>24</v>
      </c>
      <c r="D36" s="198" t="str">
        <f>IF(Quiniela!E62="","",Quiniela!E62)</f>
        <v/>
      </c>
      <c r="E36" s="198" t="str">
        <f>Quiniela!F62</f>
        <v>Francia</v>
      </c>
      <c r="F36" s="195"/>
      <c r="G36" s="195" t="str">
        <f>E34</f>
        <v>Ecuador</v>
      </c>
      <c r="H36" s="195" t="str">
        <f>IF(Quiniela!N61="","",Quiniela!N61)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 x14ac:dyDescent="0.25">
      <c r="A37" s="198" t="str">
        <f>Quiniela!B63</f>
        <v>Honduras</v>
      </c>
      <c r="B37" s="198" t="str">
        <f>IF(Quiniela!C63="","",Quiniela!C63)</f>
        <v/>
      </c>
      <c r="C37" s="198" t="s">
        <v>24</v>
      </c>
      <c r="D37" s="198" t="str">
        <f>IF(Quiniela!E63="","",Quiniela!E63)</f>
        <v/>
      </c>
      <c r="E37" s="198" t="str">
        <f>Quiniela!F63</f>
        <v>Ecuador</v>
      </c>
      <c r="F37" s="195"/>
      <c r="G37" s="195" t="str">
        <f>A35</f>
        <v>Francia</v>
      </c>
      <c r="H37" s="195" t="str">
        <f>IF(Quiniela!N62="","",Quiniela!N62)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 x14ac:dyDescent="0.25">
      <c r="A38" s="198" t="str">
        <f>Quiniela!B64</f>
        <v>Honduras</v>
      </c>
      <c r="B38" s="198" t="str">
        <f>IF(Quiniela!C64="","",Quiniela!C64)</f>
        <v/>
      </c>
      <c r="C38" s="198" t="s">
        <v>24</v>
      </c>
      <c r="D38" s="198" t="str">
        <f>IF(Quiniela!E64="","",Quiniela!E64)</f>
        <v/>
      </c>
      <c r="E38" s="198" t="str">
        <f>Quiniela!F64</f>
        <v>Suiza</v>
      </c>
      <c r="F38" s="195"/>
      <c r="G38" s="195" t="str">
        <f>E35</f>
        <v>Honduras</v>
      </c>
      <c r="H38" s="195" t="str">
        <f>IF(Quiniela!N63="","",Quiniela!N63)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 x14ac:dyDescent="0.25">
      <c r="A39" s="198" t="str">
        <f>Quiniela!B65</f>
        <v>Ecuador</v>
      </c>
      <c r="B39" s="198" t="str">
        <f>IF(Quiniela!C65="","",Quiniela!C65)</f>
        <v/>
      </c>
      <c r="C39" s="198" t="s">
        <v>24</v>
      </c>
      <c r="D39" s="198" t="str">
        <f>IF(Quiniela!E65="","",Quiniela!E65)</f>
        <v/>
      </c>
      <c r="E39" s="198" t="str">
        <f>Quiniela!F65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 x14ac:dyDescent="0.2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 x14ac:dyDescent="0.25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 x14ac:dyDescent="0.25">
      <c r="A42" s="198" t="str">
        <f>Quiniela!B71</f>
        <v>Argentina</v>
      </c>
      <c r="B42" s="198" t="str">
        <f>IF(Quiniela!C71="","",Quiniela!C71)</f>
        <v/>
      </c>
      <c r="C42" s="198" t="s">
        <v>24</v>
      </c>
      <c r="D42" s="198" t="str">
        <f>IF(Quiniela!E71="","",Quiniela!E71)</f>
        <v/>
      </c>
      <c r="E42" s="198" t="str">
        <f>Quiniela!F71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 x14ac:dyDescent="0.25">
      <c r="A43" s="198" t="str">
        <f>Quiniela!B72</f>
        <v>Irán</v>
      </c>
      <c r="B43" s="198" t="str">
        <f>IF(Quiniela!C72="","",Quiniela!C72)</f>
        <v/>
      </c>
      <c r="C43" s="198" t="s">
        <v>24</v>
      </c>
      <c r="D43" s="198" t="str">
        <f>IF(Quiniela!E72="","",Quiniela!E72)</f>
        <v/>
      </c>
      <c r="E43" s="198" t="str">
        <f>Quiniela!F72</f>
        <v>Nigeria</v>
      </c>
      <c r="F43" s="195"/>
      <c r="G43" s="195" t="str">
        <f>A42</f>
        <v>Argentina</v>
      </c>
      <c r="H43" s="195" t="str">
        <f>IF(Quiniela!N71="","",Quiniela!N71)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 x14ac:dyDescent="0.25">
      <c r="A44" s="198" t="str">
        <f>Quiniela!B73</f>
        <v>Argentina</v>
      </c>
      <c r="B44" s="198" t="str">
        <f>IF(Quiniela!C73="","",Quiniela!C73)</f>
        <v/>
      </c>
      <c r="C44" s="198" t="s">
        <v>24</v>
      </c>
      <c r="D44" s="198" t="str">
        <f>IF(Quiniela!E73="","",Quiniela!E73)</f>
        <v/>
      </c>
      <c r="E44" s="198" t="str">
        <f>Quiniela!F73</f>
        <v>Irán</v>
      </c>
      <c r="F44" s="195"/>
      <c r="G44" s="195" t="str">
        <f>E42</f>
        <v>Bosnia-Herzegovina</v>
      </c>
      <c r="H44" s="195" t="str">
        <f>IF(Quiniela!N72="","",Quiniela!N72)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 x14ac:dyDescent="0.25">
      <c r="A45" s="198" t="str">
        <f>Quiniela!B74</f>
        <v>Nigeria</v>
      </c>
      <c r="B45" s="198" t="str">
        <f>IF(Quiniela!C74="","",Quiniela!C74)</f>
        <v/>
      </c>
      <c r="C45" s="198" t="s">
        <v>24</v>
      </c>
      <c r="D45" s="198" t="str">
        <f>IF(Quiniela!E74="","",Quiniela!E74)</f>
        <v/>
      </c>
      <c r="E45" s="198" t="str">
        <f>Quiniela!F74</f>
        <v>Bosnia-Herzegovina</v>
      </c>
      <c r="F45" s="195"/>
      <c r="G45" s="195" t="str">
        <f>A43</f>
        <v>Irán</v>
      </c>
      <c r="H45" s="195" t="str">
        <f>IF(Quiniela!N73="","",Quiniela!N73)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 x14ac:dyDescent="0.25">
      <c r="A46" s="198" t="str">
        <f>Quiniela!B75</f>
        <v>Nigeria</v>
      </c>
      <c r="B46" s="198" t="str">
        <f>IF(Quiniela!C75="","",Quiniela!C75)</f>
        <v/>
      </c>
      <c r="C46" s="198" t="s">
        <v>24</v>
      </c>
      <c r="D46" s="198" t="str">
        <f>IF(Quiniela!E75="","",Quiniela!E75)</f>
        <v/>
      </c>
      <c r="E46" s="198" t="str">
        <f>Quiniela!F75</f>
        <v>Argentina</v>
      </c>
      <c r="F46" s="195"/>
      <c r="G46" s="195" t="str">
        <f>E43</f>
        <v>Nigeria</v>
      </c>
      <c r="H46" s="195" t="str">
        <f>IF(Quiniela!N74="","",Quiniela!N74)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 x14ac:dyDescent="0.25">
      <c r="A47" s="198" t="str">
        <f>Quiniela!B76</f>
        <v>Bosnia-Herzegovina</v>
      </c>
      <c r="B47" s="198" t="str">
        <f>IF(Quiniela!C76="","",Quiniela!C76)</f>
        <v/>
      </c>
      <c r="C47" s="198" t="s">
        <v>24</v>
      </c>
      <c r="D47" s="198" t="str">
        <f>IF(Quiniela!E76="","",Quiniela!E76)</f>
        <v/>
      </c>
      <c r="E47" s="198" t="str">
        <f>Quiniela!F76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 x14ac:dyDescent="0.2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 x14ac:dyDescent="0.25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 x14ac:dyDescent="0.25">
      <c r="A50" s="198" t="str">
        <f>Quiniela!B82</f>
        <v>Alemania</v>
      </c>
      <c r="B50" s="198" t="str">
        <f>IF(Quiniela!C82="","",Quiniela!C82)</f>
        <v/>
      </c>
      <c r="C50" s="198" t="s">
        <v>24</v>
      </c>
      <c r="D50" s="198" t="str">
        <f>IF(Quiniela!E82="","",Quiniela!E82)</f>
        <v/>
      </c>
      <c r="E50" s="198" t="str">
        <f>Quiniela!F82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 x14ac:dyDescent="0.25">
      <c r="A51" s="198" t="str">
        <f>Quiniela!B83</f>
        <v>Ghana</v>
      </c>
      <c r="B51" s="198" t="str">
        <f>IF(Quiniela!C83="","",Quiniela!C83)</f>
        <v/>
      </c>
      <c r="C51" s="198" t="s">
        <v>24</v>
      </c>
      <c r="D51" s="198" t="str">
        <f>IF(Quiniela!E83="","",Quiniela!E83)</f>
        <v/>
      </c>
      <c r="E51" s="198" t="str">
        <f>Quiniela!F83</f>
        <v>EEUU</v>
      </c>
      <c r="F51" s="195"/>
      <c r="G51" s="195" t="str">
        <f>A50</f>
        <v>Alemania</v>
      </c>
      <c r="H51" s="195" t="str">
        <f>IF(Quiniela!N82="","",Quiniela!N82)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 x14ac:dyDescent="0.25">
      <c r="A52" s="198" t="str">
        <f>Quiniela!B84</f>
        <v>Alemania</v>
      </c>
      <c r="B52" s="198" t="str">
        <f>IF(Quiniela!C84="","",Quiniela!C84)</f>
        <v/>
      </c>
      <c r="C52" s="198" t="s">
        <v>24</v>
      </c>
      <c r="D52" s="198" t="str">
        <f>IF(Quiniela!E84="","",Quiniela!E84)</f>
        <v/>
      </c>
      <c r="E52" s="198" t="str">
        <f>Quiniela!F84</f>
        <v>Ghana</v>
      </c>
      <c r="F52" s="195"/>
      <c r="G52" s="195" t="str">
        <f>E50</f>
        <v>Portugal</v>
      </c>
      <c r="H52" s="195" t="str">
        <f>IF(Quiniela!N83="","",Quiniela!N83)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 x14ac:dyDescent="0.25">
      <c r="A53" s="198" t="str">
        <f>Quiniela!B85</f>
        <v>EEUU</v>
      </c>
      <c r="B53" s="198" t="str">
        <f>IF(Quiniela!C85="","",Quiniela!C85)</f>
        <v/>
      </c>
      <c r="C53" s="198" t="s">
        <v>24</v>
      </c>
      <c r="D53" s="198" t="str">
        <f>IF(Quiniela!E85="","",Quiniela!E85)</f>
        <v/>
      </c>
      <c r="E53" s="198" t="str">
        <f>Quiniela!F85</f>
        <v>Portugal</v>
      </c>
      <c r="F53" s="195"/>
      <c r="G53" s="195" t="str">
        <f>A51</f>
        <v>Ghana</v>
      </c>
      <c r="H53" s="195" t="str">
        <f>IF(Quiniela!N84="","",Quiniela!N84)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 x14ac:dyDescent="0.25">
      <c r="A54" s="198" t="str">
        <f>Quiniela!B86</f>
        <v>EEUU</v>
      </c>
      <c r="B54" s="198" t="str">
        <f>IF(Quiniela!C86="","",Quiniela!C86)</f>
        <v/>
      </c>
      <c r="C54" s="198" t="s">
        <v>24</v>
      </c>
      <c r="D54" s="198" t="str">
        <f>IF(Quiniela!E86="","",Quiniela!E86)</f>
        <v/>
      </c>
      <c r="E54" s="198" t="str">
        <f>Quiniela!F86</f>
        <v>Alemania</v>
      </c>
      <c r="F54" s="195"/>
      <c r="G54" s="195" t="str">
        <f>E51</f>
        <v>EEUU</v>
      </c>
      <c r="H54" s="195" t="str">
        <f>IF(Quiniela!N85="","",Quiniela!N85)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 x14ac:dyDescent="0.25">
      <c r="A55" s="198" t="str">
        <f>Quiniela!B87</f>
        <v>Portugal</v>
      </c>
      <c r="B55" s="198" t="str">
        <f>IF(Quiniela!C87="","",Quiniela!C87)</f>
        <v/>
      </c>
      <c r="C55" s="198" t="s">
        <v>24</v>
      </c>
      <c r="D55" s="198" t="str">
        <f>IF(Quiniela!E87="","",Quiniela!E87)</f>
        <v/>
      </c>
      <c r="E55" s="198" t="str">
        <f>Quiniela!F87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 x14ac:dyDescent="0.2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 x14ac:dyDescent="0.25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 x14ac:dyDescent="0.25">
      <c r="A58" s="198" t="str">
        <f>Quiniela!B93</f>
        <v>Bélgica</v>
      </c>
      <c r="B58" s="198" t="str">
        <f>IF(Quiniela!C93="","",Quiniela!C93)</f>
        <v/>
      </c>
      <c r="C58" s="198" t="s">
        <v>24</v>
      </c>
      <c r="D58" s="198" t="str">
        <f>IF(Quiniela!E93="","",Quiniela!E93)</f>
        <v/>
      </c>
      <c r="E58" s="198" t="str">
        <f>Quiniela!F93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 x14ac:dyDescent="0.25">
      <c r="A59" s="198" t="str">
        <f>Quiniela!B94</f>
        <v>Rusia</v>
      </c>
      <c r="B59" s="198" t="str">
        <f>IF(Quiniela!C94="","",Quiniela!C94)</f>
        <v/>
      </c>
      <c r="C59" s="198" t="s">
        <v>24</v>
      </c>
      <c r="D59" s="198" t="str">
        <f>IF(Quiniela!E94="","",Quiniela!E94)</f>
        <v/>
      </c>
      <c r="E59" s="198" t="str">
        <f>Quiniela!F94</f>
        <v>República de Corea</v>
      </c>
      <c r="F59" s="195"/>
      <c r="G59" s="195" t="str">
        <f>A58</f>
        <v>Bélgica</v>
      </c>
      <c r="H59" s="195" t="str">
        <f>IF(Quiniela!N93="","",Quiniela!N93)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 x14ac:dyDescent="0.25">
      <c r="A60" s="198" t="str">
        <f>Quiniela!B95</f>
        <v>Bélgica</v>
      </c>
      <c r="B60" s="198" t="str">
        <f>IF(Quiniela!C95="","",Quiniela!C95)</f>
        <v/>
      </c>
      <c r="C60" s="198" t="s">
        <v>24</v>
      </c>
      <c r="D60" s="198" t="str">
        <f>IF(Quiniela!E95="","",Quiniela!E95)</f>
        <v/>
      </c>
      <c r="E60" s="198" t="str">
        <f>Quiniela!F95</f>
        <v>Rusia</v>
      </c>
      <c r="F60" s="195"/>
      <c r="G60" s="195" t="str">
        <f>E58</f>
        <v>Argelia</v>
      </c>
      <c r="H60" s="195" t="str">
        <f>IF(Quiniela!N94="","",Quiniela!N94)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 x14ac:dyDescent="0.25">
      <c r="A61" s="198" t="str">
        <f>Quiniela!B96</f>
        <v>República de Corea</v>
      </c>
      <c r="B61" s="198" t="str">
        <f>IF(Quiniela!C96="","",Quiniela!C96)</f>
        <v/>
      </c>
      <c r="C61" s="198" t="s">
        <v>24</v>
      </c>
      <c r="D61" s="198" t="str">
        <f>IF(Quiniela!E96="","",Quiniela!E96)</f>
        <v/>
      </c>
      <c r="E61" s="198" t="str">
        <f>Quiniela!F96</f>
        <v>Argelia</v>
      </c>
      <c r="F61" s="195"/>
      <c r="G61" s="195" t="str">
        <f>A59</f>
        <v>Rusia</v>
      </c>
      <c r="H61" s="195" t="str">
        <f>IF(Quiniela!N95="","",Quiniela!N95)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 x14ac:dyDescent="0.25">
      <c r="A62" s="198" t="str">
        <f>Quiniela!B97</f>
        <v>República de Corea</v>
      </c>
      <c r="B62" s="198" t="str">
        <f>IF(Quiniela!C97="","",Quiniela!C97)</f>
        <v/>
      </c>
      <c r="C62" s="198" t="s">
        <v>24</v>
      </c>
      <c r="D62" s="198" t="str">
        <f>IF(Quiniela!E97="","",Quiniela!E97)</f>
        <v/>
      </c>
      <c r="E62" s="198" t="str">
        <f>Quiniela!F97</f>
        <v>Bélgica</v>
      </c>
      <c r="F62" s="195"/>
      <c r="G62" s="195" t="str">
        <f>E59</f>
        <v>República de Corea</v>
      </c>
      <c r="H62" s="195" t="str">
        <f>IF(Quiniela!N96="","",Quiniela!N96)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 x14ac:dyDescent="0.25">
      <c r="A63" s="198" t="str">
        <f>Quiniela!B98</f>
        <v>Argelia</v>
      </c>
      <c r="B63" s="198" t="str">
        <f>IF(Quiniela!C98="","",Quiniela!C98)</f>
        <v/>
      </c>
      <c r="C63" s="198" t="s">
        <v>24</v>
      </c>
      <c r="D63" s="198" t="str">
        <f>IF(Quiniela!E98="","",Quiniela!E98)</f>
        <v/>
      </c>
      <c r="E63" s="198" t="str">
        <f>Quiniela!F98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 x14ac:dyDescent="0.2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 x14ac:dyDescent="0.2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lculos2"/>
  <dimension ref="A1:BN65"/>
  <sheetViews>
    <sheetView workbookViewId="0">
      <selection activeCell="U24" sqref="U24"/>
    </sheetView>
  </sheetViews>
  <sheetFormatPr defaultColWidth="11.42578125" defaultRowHeight="15" x14ac:dyDescent="0.25"/>
  <cols>
    <col min="1" max="1" width="17.7109375" customWidth="1"/>
    <col min="2" max="2" width="2.7109375" customWidth="1"/>
    <col min="3" max="3" width="1.7109375" customWidth="1"/>
    <col min="4" max="4" width="2.7109375" customWidth="1"/>
    <col min="5" max="5" width="17.7109375" customWidth="1"/>
    <col min="6" max="6" width="0" hidden="1" customWidth="1"/>
    <col min="7" max="7" width="17.7109375" customWidth="1"/>
    <col min="8" max="8" width="3.7109375" customWidth="1"/>
    <col min="9" max="9" width="4.7109375" customWidth="1"/>
    <col min="10" max="10" width="14.7109375" customWidth="1"/>
    <col min="11" max="18" width="3.7109375" customWidth="1"/>
    <col min="19" max="19" width="15.7109375" customWidth="1"/>
    <col min="20" max="20" width="3.7109375" customWidth="1"/>
    <col min="21" max="21" width="11.7109375" customWidth="1"/>
    <col min="22" max="22" width="17.7109375" customWidth="1"/>
    <col min="23" max="26" width="3.7109375" customWidth="1"/>
    <col min="27" max="27" width="13.7109375" customWidth="1"/>
    <col min="28" max="28" width="17.7109375" customWidth="1"/>
    <col min="29" max="32" width="3.7109375" customWidth="1"/>
    <col min="33" max="33" width="17.7109375" customWidth="1"/>
    <col min="34" max="34" width="8.7109375" customWidth="1"/>
    <col min="35" max="35" width="7.7109375" customWidth="1"/>
    <col min="36" max="37" width="4.7109375" customWidth="1"/>
    <col min="38" max="40" width="3.7109375" customWidth="1"/>
    <col min="41" max="41" width="2.7109375" customWidth="1"/>
    <col min="42" max="43" width="4.7109375" customWidth="1"/>
    <col min="44" max="45" width="8.7109375" customWidth="1"/>
    <col min="46" max="47" width="4.7109375" style="378" bestFit="1" customWidth="1"/>
    <col min="48" max="49" width="6" style="378" bestFit="1" customWidth="1"/>
    <col min="50" max="50" width="17.7109375" customWidth="1"/>
    <col min="51" max="56" width="7.7109375" customWidth="1"/>
  </cols>
  <sheetData>
    <row r="1" spans="1:66" ht="12.95" customHeight="1" x14ac:dyDescent="0.25">
      <c r="A1" s="194" t="s">
        <v>3</v>
      </c>
      <c r="B1" s="194"/>
      <c r="C1" s="194"/>
      <c r="D1" s="194"/>
      <c r="E1" s="194"/>
      <c r="F1" s="195"/>
      <c r="G1" s="195"/>
      <c r="H1" s="195"/>
      <c r="I1" s="195"/>
      <c r="J1" s="194" t="s">
        <v>30</v>
      </c>
      <c r="K1" s="194"/>
      <c r="L1" s="194"/>
      <c r="M1" s="194"/>
      <c r="N1" s="194"/>
      <c r="O1" s="194"/>
      <c r="P1" s="194"/>
      <c r="Q1" s="194"/>
      <c r="R1" s="194"/>
      <c r="S1" s="194"/>
      <c r="T1" s="196"/>
      <c r="U1" s="194" t="s">
        <v>463</v>
      </c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6"/>
      <c r="AK1" s="196"/>
      <c r="AL1" s="196"/>
      <c r="AM1" s="196"/>
      <c r="AN1" s="196"/>
      <c r="AO1" s="196"/>
      <c r="AP1" s="196"/>
      <c r="AQ1" s="196"/>
      <c r="AR1" s="195" t="str">
        <f>cUsoPenal</f>
        <v>NO</v>
      </c>
      <c r="AS1" s="196"/>
      <c r="AT1" s="195"/>
      <c r="AU1" s="195"/>
      <c r="AV1" s="195"/>
      <c r="AW1" s="195"/>
      <c r="AX1" s="195" t="s">
        <v>464</v>
      </c>
      <c r="AY1" s="195" t="s">
        <v>465</v>
      </c>
      <c r="AZ1" s="195" t="s">
        <v>466</v>
      </c>
      <c r="BA1" s="197" t="s">
        <v>467</v>
      </c>
      <c r="BB1" s="195" t="s">
        <v>468</v>
      </c>
      <c r="BC1" s="197" t="s">
        <v>469</v>
      </c>
      <c r="BD1" s="195" t="s">
        <v>470</v>
      </c>
      <c r="BE1" s="197" t="s">
        <v>471</v>
      </c>
      <c r="BF1" s="195" t="s">
        <v>38</v>
      </c>
      <c r="BG1" s="197" t="s">
        <v>472</v>
      </c>
      <c r="BH1" s="195" t="s">
        <v>35</v>
      </c>
      <c r="BI1" s="197" t="s">
        <v>473</v>
      </c>
      <c r="BJ1" s="195" t="s">
        <v>36</v>
      </c>
      <c r="BK1" s="197" t="s">
        <v>474</v>
      </c>
      <c r="BL1" s="195" t="s">
        <v>37</v>
      </c>
      <c r="BM1" s="197" t="s">
        <v>475</v>
      </c>
      <c r="BN1" s="197"/>
    </row>
    <row r="2" spans="1:66" ht="12.95" customHeight="1" x14ac:dyDescent="0.25">
      <c r="A2" s="198" t="str">
        <f>'Antonio J'!B16</f>
        <v>Brasil</v>
      </c>
      <c r="B2" s="198">
        <f>IF('Antonio J'!C16="","",'Antonio J'!C16)</f>
        <v>3</v>
      </c>
      <c r="C2" s="198" t="s">
        <v>24</v>
      </c>
      <c r="D2" s="198">
        <f>IF('Antonio J'!E16="","",'Antonio J'!E16)</f>
        <v>1</v>
      </c>
      <c r="E2" s="198" t="str">
        <f>'Antonio J'!F16</f>
        <v>Croacia</v>
      </c>
      <c r="F2" s="195"/>
      <c r="G2" s="194" t="s">
        <v>476</v>
      </c>
      <c r="H2" s="194"/>
      <c r="I2" s="195"/>
      <c r="J2" s="195" t="s">
        <v>464</v>
      </c>
      <c r="K2" s="199" t="s">
        <v>31</v>
      </c>
      <c r="L2" s="199" t="s">
        <v>32</v>
      </c>
      <c r="M2" s="199" t="s">
        <v>33</v>
      </c>
      <c r="N2" s="199" t="s">
        <v>34</v>
      </c>
      <c r="O2" s="199" t="s">
        <v>35</v>
      </c>
      <c r="P2" s="199" t="s">
        <v>36</v>
      </c>
      <c r="Q2" s="199" t="s">
        <v>37</v>
      </c>
      <c r="R2" s="199" t="s">
        <v>38</v>
      </c>
      <c r="S2" s="200" t="s">
        <v>477</v>
      </c>
      <c r="T2" s="196"/>
      <c r="U2" s="195"/>
      <c r="V2" s="194" t="s">
        <v>478</v>
      </c>
      <c r="W2" s="194"/>
      <c r="X2" s="194"/>
      <c r="Y2" s="194"/>
      <c r="Z2" s="194"/>
      <c r="AA2" s="194"/>
      <c r="AB2" s="421" t="s">
        <v>578</v>
      </c>
      <c r="AC2" s="194"/>
      <c r="AD2" s="194"/>
      <c r="AE2" s="194"/>
      <c r="AF2" s="194"/>
      <c r="AG2" s="194"/>
      <c r="AH2" s="194"/>
      <c r="AI2" s="194"/>
      <c r="AJ2" s="196"/>
      <c r="AK2" s="196"/>
      <c r="AL2" s="196"/>
      <c r="AM2" s="196"/>
      <c r="AN2" s="195">
        <v>23</v>
      </c>
      <c r="AO2" s="195">
        <v>24</v>
      </c>
      <c r="AP2" s="195">
        <v>25</v>
      </c>
      <c r="AQ2" s="195">
        <v>26</v>
      </c>
      <c r="AR2" s="196"/>
      <c r="AS2" s="196"/>
      <c r="AT2" s="195"/>
      <c r="AU2" s="195"/>
      <c r="AV2" s="195"/>
      <c r="AW2" s="195"/>
      <c r="AX2" s="201" t="str">
        <f>Config!O1</f>
        <v>Brasil</v>
      </c>
      <c r="AY2" s="195">
        <f>VLOOKUP($AX2,$J$2:$S$62,2,FALSE)+COUNTIF($V$4:$V$19,$AX2)+COUNTIF($AA$4:$AA$19,$AX2)</f>
        <v>2</v>
      </c>
      <c r="AZ2" s="195">
        <f>VLOOKUP($AX2,$J$2:$S$62,3,FALSE)+COUNTIF($AH$4:$AH$19,$AX2)</f>
        <v>1</v>
      </c>
      <c r="BA2" s="197">
        <f>ROUND(IF($AY2=0,0,AZ2/$AY2),1)</f>
        <v>0.5</v>
      </c>
      <c r="BB2" s="195">
        <f>VLOOKUP($AX2,$J$2:$S$62,4,FALSE)</f>
        <v>0</v>
      </c>
      <c r="BC2" s="197">
        <f>ROUND(IF($AY2=0,0,BB2/$AY2),1)</f>
        <v>0</v>
      </c>
      <c r="BD2" s="195">
        <f>VLOOKUP($AX2,$J$2:$S$62,5,FALSE)+COUNTIF($AI$4:$AI$19,$AX2)</f>
        <v>0</v>
      </c>
      <c r="BE2" s="197">
        <f>ROUND(IF($AY2=0,0,BD2/$AY2),1)</f>
        <v>0</v>
      </c>
      <c r="BF2" s="195">
        <f>(AZ2*3)+BB2</f>
        <v>3</v>
      </c>
      <c r="BG2" s="197">
        <f>ROUND(IF($AY2=0,0,BF2/$AY2),1)</f>
        <v>1.5</v>
      </c>
      <c r="BH2" s="195">
        <f>VLOOKUP($AX2,$J$2:$S$62,6,FALSE)+SUMIF($V$4:$V$19,$AX2,$W$4:$W$19)+SUMIF($AA$4:$AA$19,$AX2,$Z$4:$Z$19)</f>
        <v>3</v>
      </c>
      <c r="BI2" s="197">
        <f>ROUND(IF($AY2=0,0,BH2/$AY2),1)</f>
        <v>1.5</v>
      </c>
      <c r="BJ2" s="195">
        <f>VLOOKUP($AX2,$J$2:$S$62,7,FALSE)+SUMIF($V$4:$V$19,$AX2,$Z$4:$Z$19)+SUMIF($AA$4:$AA$19,$AX2,$W$4:$W$19)</f>
        <v>1</v>
      </c>
      <c r="BK2" s="197">
        <f>ROUND(IF($AY2=0,0,BJ2/$AY2),1)</f>
        <v>0.5</v>
      </c>
      <c r="BL2" s="195">
        <f>BH2-BJ2</f>
        <v>2</v>
      </c>
      <c r="BM2" s="197">
        <f>ROUND(IF($AY2=0,0,BL2/$AY2),1)</f>
        <v>1</v>
      </c>
      <c r="BN2" s="197"/>
    </row>
    <row r="3" spans="1:66" ht="12.95" customHeight="1" x14ac:dyDescent="0.25">
      <c r="A3" s="198" t="str">
        <f>'Antonio J'!B17</f>
        <v>México</v>
      </c>
      <c r="B3" s="198" t="str">
        <f>IF('Antonio J'!C17="","",'Antonio J'!C17)</f>
        <v/>
      </c>
      <c r="C3" s="198" t="s">
        <v>24</v>
      </c>
      <c r="D3" s="198" t="str">
        <f>IF('Antonio J'!E17="","",'Antonio J'!E17)</f>
        <v/>
      </c>
      <c r="E3" s="198" t="str">
        <f>'Antonio J'!F17</f>
        <v>Camerún</v>
      </c>
      <c r="F3" s="195"/>
      <c r="G3" s="195" t="str">
        <f>A2</f>
        <v>Brasil</v>
      </c>
      <c r="H3" s="195" t="str">
        <f>IF('Antonio J'!N16="","",'Antonio J'!N16)</f>
        <v/>
      </c>
      <c r="I3" s="195"/>
      <c r="J3" s="202" t="str">
        <f t="array" ref="J3:S6">Obtiene_Datos(A2:E7,G3:H6,A1)</f>
        <v>Brasil</v>
      </c>
      <c r="K3" s="198">
        <v>1</v>
      </c>
      <c r="L3" s="198">
        <v>1</v>
      </c>
      <c r="M3" s="198">
        <v>0</v>
      </c>
      <c r="N3" s="198">
        <v>0</v>
      </c>
      <c r="O3" s="198">
        <v>3</v>
      </c>
      <c r="P3" s="198">
        <v>1</v>
      </c>
      <c r="Q3" s="198">
        <v>2</v>
      </c>
      <c r="R3" s="198">
        <v>3</v>
      </c>
      <c r="S3" s="203">
        <v>35203000000</v>
      </c>
      <c r="T3" s="196"/>
      <c r="U3" s="195" t="s">
        <v>480</v>
      </c>
      <c r="V3" s="195" t="s">
        <v>103</v>
      </c>
      <c r="W3" s="194" t="s">
        <v>481</v>
      </c>
      <c r="X3" s="194" t="s">
        <v>482</v>
      </c>
      <c r="Y3" s="194" t="s">
        <v>483</v>
      </c>
      <c r="Z3" s="194" t="s">
        <v>484</v>
      </c>
      <c r="AA3" s="195" t="s">
        <v>104</v>
      </c>
      <c r="AB3" s="195" t="s">
        <v>103</v>
      </c>
      <c r="AC3" s="194" t="s">
        <v>481</v>
      </c>
      <c r="AD3" s="194" t="s">
        <v>482</v>
      </c>
      <c r="AE3" s="194" t="s">
        <v>483</v>
      </c>
      <c r="AF3" s="194" t="s">
        <v>484</v>
      </c>
      <c r="AG3" s="195" t="s">
        <v>104</v>
      </c>
      <c r="AH3" s="195" t="s">
        <v>485</v>
      </c>
      <c r="AI3" s="195" t="s">
        <v>486</v>
      </c>
      <c r="AJ3" s="196"/>
      <c r="AK3" s="196"/>
      <c r="AL3" s="196"/>
      <c r="AM3" s="196"/>
      <c r="AN3" s="194" t="s">
        <v>481</v>
      </c>
      <c r="AO3" s="194" t="s">
        <v>482</v>
      </c>
      <c r="AP3" s="194" t="s">
        <v>483</v>
      </c>
      <c r="AQ3" s="194" t="s">
        <v>484</v>
      </c>
      <c r="AR3" s="194" t="s">
        <v>487</v>
      </c>
      <c r="AS3" s="194" t="s">
        <v>488</v>
      </c>
      <c r="AT3" s="195" t="s">
        <v>560</v>
      </c>
      <c r="AU3" s="195" t="s">
        <v>561</v>
      </c>
      <c r="AV3" s="195" t="s">
        <v>562</v>
      </c>
      <c r="AW3" s="195" t="s">
        <v>563</v>
      </c>
      <c r="AX3" s="201" t="str">
        <f>Config!O2</f>
        <v>México</v>
      </c>
      <c r="AY3" s="195">
        <f t="shared" ref="AY3:AY33" si="0">VLOOKUP($AX3,$J$2:$S$62,2,FALSE)+COUNTIF($V$4:$V$19,$AX3)+COUNTIF($AA$4:$AA$19,$AX3)</f>
        <v>0</v>
      </c>
      <c r="AZ3" s="195">
        <f t="shared" ref="AZ3:AZ33" si="1">VLOOKUP($AX3,$J$2:$S$62,3,FALSE)+COUNTIF($AH$4:$AH$19,$AX3)</f>
        <v>0</v>
      </c>
      <c r="BA3" s="197">
        <f t="shared" ref="BA3:BA33" si="2">ROUND(IF($AY3=0,0,AZ3/$AY3),1)</f>
        <v>0</v>
      </c>
      <c r="BB3" s="195">
        <f t="shared" ref="BB3:BB33" si="3">VLOOKUP($AX3,$J$2:$S$62,4,FALSE)</f>
        <v>0</v>
      </c>
      <c r="BC3" s="197">
        <f t="shared" ref="BC3:BC33" si="4">ROUND(IF($AY3=0,0,BB3/$AY3),1)</f>
        <v>0</v>
      </c>
      <c r="BD3" s="195">
        <f t="shared" ref="BD3:BD33" si="5">VLOOKUP($AX3,$J$2:$S$62,5,FALSE)+COUNTIF($AI$4:$AI$19,$AX3)</f>
        <v>0</v>
      </c>
      <c r="BE3" s="197">
        <f t="shared" ref="BE3:BE33" si="6">ROUND(IF($AY3=0,0,BD3/$AY3),1)</f>
        <v>0</v>
      </c>
      <c r="BF3" s="195">
        <f t="shared" ref="BF3:BF33" si="7">(AZ3*3)+BB3</f>
        <v>0</v>
      </c>
      <c r="BG3" s="197">
        <f t="shared" ref="BG3:BG33" si="8">ROUND(IF($AY3=0,0,BF3/$AY3),1)</f>
        <v>0</v>
      </c>
      <c r="BH3" s="195">
        <f t="shared" ref="BH3:BH33" si="9">VLOOKUP($AX3,$J$2:$S$62,6,FALSE)+SUMIF($V$4:$V$19,$AX3,$W$4:$W$19)+SUMIF($AA$4:$AA$19,$AX3,$Z$4:$Z$19)</f>
        <v>0</v>
      </c>
      <c r="BI3" s="197">
        <f t="shared" ref="BI3:BI33" si="10">ROUND(IF($AY3=0,0,BH3/$AY3),1)</f>
        <v>0</v>
      </c>
      <c r="BJ3" s="195">
        <f t="shared" ref="BJ3:BJ33" si="11">VLOOKUP($AX3,$J$2:$S$62,7,FALSE)+SUMIF($V$4:$V$19,$AX3,$Z$4:$Z$19)+SUMIF($AA$4:$AA$19,$AX3,$W$4:$W$19)</f>
        <v>0</v>
      </c>
      <c r="BK3" s="197">
        <f t="shared" ref="BK3:BK33" si="12">ROUND(IF($AY3=0,0,BJ3/$AY3),1)</f>
        <v>0</v>
      </c>
      <c r="BL3" s="195">
        <f t="shared" ref="BL3:BL33" si="13">BH3-BJ3</f>
        <v>0</v>
      </c>
      <c r="BM3" s="197">
        <f t="shared" ref="BM3:BM33" si="14">ROUND(IF($AY3=0,0,BL3/$AY3),1)</f>
        <v>0</v>
      </c>
      <c r="BN3" s="197"/>
    </row>
    <row r="4" spans="1:66" ht="12.95" customHeight="1" x14ac:dyDescent="0.25">
      <c r="A4" s="198" t="str">
        <f>'Antonio J'!B18</f>
        <v>Brasil</v>
      </c>
      <c r="B4" s="198" t="str">
        <f>IF('Antonio J'!C18="","",'Antonio J'!C18)</f>
        <v/>
      </c>
      <c r="C4" s="198" t="s">
        <v>24</v>
      </c>
      <c r="D4" s="198" t="str">
        <f>IF('Antonio J'!E18="","",'Antonio J'!E18)</f>
        <v/>
      </c>
      <c r="E4" s="198" t="str">
        <f>'Antonio J'!F18</f>
        <v>México</v>
      </c>
      <c r="F4" s="195"/>
      <c r="G4" s="195" t="str">
        <f>E2</f>
        <v>Croacia</v>
      </c>
      <c r="H4" s="195" t="str">
        <f>IF('Antonio J'!N17="","",'Antonio J'!N17)</f>
        <v/>
      </c>
      <c r="I4" s="195"/>
      <c r="J4" s="202" t="str">
        <v>Camerún</v>
      </c>
      <c r="K4" s="198">
        <v>0</v>
      </c>
      <c r="L4" s="198">
        <v>0</v>
      </c>
      <c r="M4" s="198">
        <v>0</v>
      </c>
      <c r="N4" s="198">
        <v>0</v>
      </c>
      <c r="O4" s="198">
        <v>0</v>
      </c>
      <c r="P4" s="198">
        <v>0</v>
      </c>
      <c r="Q4" s="198">
        <v>0</v>
      </c>
      <c r="R4" s="198">
        <v>0</v>
      </c>
      <c r="S4" s="203">
        <v>5000005000</v>
      </c>
      <c r="T4" s="196"/>
      <c r="U4" s="204">
        <v>49</v>
      </c>
      <c r="V4" s="204" t="str">
        <f>IF(K3=0,"1ero Grupo A",J3)</f>
        <v>Brasil</v>
      </c>
      <c r="W4" s="204" t="str">
        <f>IF('Antonio J'!Q16="","",'Antonio J'!Q16)</f>
        <v/>
      </c>
      <c r="X4" s="204" t="str">
        <f>'Antonio J'!R16</f>
        <v/>
      </c>
      <c r="Y4" s="204" t="str">
        <f>'Antonio J'!T16</f>
        <v/>
      </c>
      <c r="Z4" s="204" t="str">
        <f>IF('Antonio J'!U16="","",'Antonio J'!U16)</f>
        <v/>
      </c>
      <c r="AA4" s="204" t="str">
        <f>IF(K12=0,"2do Grupo B",J12)</f>
        <v>2do Grupo B</v>
      </c>
      <c r="AB4" s="204" t="str">
        <f>'Antonio J'!X16</f>
        <v>Brasil</v>
      </c>
      <c r="AC4" s="204">
        <f>IF('Antonio J'!Y16="","",'Antonio J'!Y16)</f>
        <v>2</v>
      </c>
      <c r="AD4" s="204">
        <f>IF('Antonio J'!AG16="","",'Antonio J'!AG16)</f>
        <v>0</v>
      </c>
      <c r="AE4" s="204">
        <f>IF('Antonio J'!AH16="","",'Antonio J'!AH16)</f>
        <v>0</v>
      </c>
      <c r="AF4" s="204">
        <f>IF('Antonio J'!AA16="","",'Antonio J'!AA16)</f>
        <v>1</v>
      </c>
      <c r="AG4" s="204" t="str">
        <f>'Antonio J'!AB16</f>
        <v>Chile</v>
      </c>
      <c r="AH4" s="204" t="str">
        <f>IF(SUM($W4:$X4)&gt;SUM($Y4:$Z4),V4,IF(SUM($W4:$X4)&lt;SUM($Y4:$Z4),AA4,""))</f>
        <v/>
      </c>
      <c r="AI4" s="204" t="str">
        <f>IF(SUM($W4:$X4)&gt;SUM($Y4:$Z4),AA4,IF(SUM($W4:$X4)&lt;SUM($Y4:$Z4),V4,""))</f>
        <v/>
      </c>
      <c r="AJ4" s="196" t="e">
        <f t="array" ref="AJ4">MATCH(AB4 &amp; AG4,$V$4:$V$11 &amp; $AA$4:$AA$11,0)</f>
        <v>#N/A</v>
      </c>
      <c r="AK4" s="195" t="e">
        <f t="array" ref="AK4">MATCH(AB4 &amp; AG4,$AA$4:$AA$11 &amp; $V$4:$V$11,0)</f>
        <v>#N/A</v>
      </c>
      <c r="AL4" s="195">
        <f>IF(ISERROR(AJ4),0,IF(OR(W4="",Z4=""),0,AJ4))</f>
        <v>0</v>
      </c>
      <c r="AM4" s="195">
        <f>IF(ISERROR(AK4),0,IF(OR(W4="",Z4=""),0,AK4))</f>
        <v>0</v>
      </c>
      <c r="AN4" s="195" t="str">
        <f ca="1">IF($AL4+$AM4=0,"",INDIRECT(ADDRESS($AL4+$AM4+ROW($U$4)-1,AN$2)))</f>
        <v/>
      </c>
      <c r="AO4" s="195" t="str">
        <f t="shared" ref="AO4:AQ11" ca="1" si="15">IF($AL4+$AM4=0,"",INDIRECT(ADDRESS($AL4+$AM4+ROW($U$4)-1,AO$2)))</f>
        <v/>
      </c>
      <c r="AP4" s="195" t="str">
        <f t="shared" ca="1" si="15"/>
        <v/>
      </c>
      <c r="AQ4" s="195" t="str">
        <f t="shared" ca="1" si="15"/>
        <v/>
      </c>
      <c r="AR4" s="195">
        <f>IF(AL4=0,0,IF(OR(AND(AT4&gt;AU4,AV4&gt;AW4),AND(AT4&lt;AU4,AV4&lt;AW4),AND(AT4=AU4,AV4=AW4)),1,0))+IF(AM4=0,0,IF(OR(AND(AT4&gt;AU4,AV4&lt;AW4),AND(AT4&lt;AU4,AV4&gt;AW4),AND(AT4=AU4,AV4=AW4)),1,0))</f>
        <v>0</v>
      </c>
      <c r="AS4" s="195">
        <f>IF(AL4=0,0,IF(AND(AT4=AV4,AU4=AW4),1,0))+IF(AM4=0,0,IF(AND(AT4=AW4,AU4=AV4),1,0))</f>
        <v>0</v>
      </c>
      <c r="AT4" s="195" t="str">
        <f ca="1">IF($AR$1="NO",AN4,SUM(AN4:AO4))</f>
        <v/>
      </c>
      <c r="AU4" s="195" t="str">
        <f ca="1">IF($AR$1="NO",AQ4,SUM(AP4:AQ4))</f>
        <v/>
      </c>
      <c r="AV4" s="195">
        <f>IF($AR$1="NO",AC4,SUM(AC4:AD4))</f>
        <v>2</v>
      </c>
      <c r="AW4" s="195">
        <f>IF($AR$1="NO",AF4,SUM(AE4:AF4))</f>
        <v>1</v>
      </c>
      <c r="AX4" s="201" t="str">
        <f>Config!O3</f>
        <v>Croacia</v>
      </c>
      <c r="AY4" s="195">
        <f t="shared" si="0"/>
        <v>1</v>
      </c>
      <c r="AZ4" s="195">
        <f t="shared" si="1"/>
        <v>0</v>
      </c>
      <c r="BA4" s="197">
        <f t="shared" si="2"/>
        <v>0</v>
      </c>
      <c r="BB4" s="195">
        <f t="shared" si="3"/>
        <v>0</v>
      </c>
      <c r="BC4" s="197">
        <f t="shared" si="4"/>
        <v>0</v>
      </c>
      <c r="BD4" s="195">
        <f t="shared" si="5"/>
        <v>1</v>
      </c>
      <c r="BE4" s="197">
        <f t="shared" si="6"/>
        <v>1</v>
      </c>
      <c r="BF4" s="195">
        <f t="shared" si="7"/>
        <v>0</v>
      </c>
      <c r="BG4" s="197">
        <f t="shared" si="8"/>
        <v>0</v>
      </c>
      <c r="BH4" s="195">
        <f t="shared" si="9"/>
        <v>1</v>
      </c>
      <c r="BI4" s="197">
        <f t="shared" si="10"/>
        <v>1</v>
      </c>
      <c r="BJ4" s="195">
        <f t="shared" si="11"/>
        <v>3</v>
      </c>
      <c r="BK4" s="197">
        <f t="shared" si="12"/>
        <v>3</v>
      </c>
      <c r="BL4" s="195">
        <f t="shared" si="13"/>
        <v>-2</v>
      </c>
      <c r="BM4" s="197">
        <f t="shared" si="14"/>
        <v>-2</v>
      </c>
      <c r="BN4" s="197"/>
    </row>
    <row r="5" spans="1:66" ht="12.95" customHeight="1" x14ac:dyDescent="0.25">
      <c r="A5" s="198" t="str">
        <f>'Antonio J'!B19</f>
        <v>Camerún</v>
      </c>
      <c r="B5" s="198" t="str">
        <f>IF('Antonio J'!C19="","",'Antonio J'!C19)</f>
        <v/>
      </c>
      <c r="C5" s="198" t="s">
        <v>24</v>
      </c>
      <c r="D5" s="198" t="str">
        <f>IF('Antonio J'!E19="","",'Antonio J'!E19)</f>
        <v/>
      </c>
      <c r="E5" s="198" t="str">
        <f>'Antonio J'!F19</f>
        <v>Croacia</v>
      </c>
      <c r="F5" s="195"/>
      <c r="G5" s="195" t="str">
        <f>A3</f>
        <v>México</v>
      </c>
      <c r="H5" s="195" t="str">
        <f>IF('Antonio J'!N18="","",'Antonio J'!N18)</f>
        <v/>
      </c>
      <c r="I5" s="195"/>
      <c r="J5" s="202" t="str">
        <v>México</v>
      </c>
      <c r="K5" s="198">
        <v>0</v>
      </c>
      <c r="L5" s="198">
        <v>0</v>
      </c>
      <c r="M5" s="198">
        <v>0</v>
      </c>
      <c r="N5" s="198">
        <v>0</v>
      </c>
      <c r="O5" s="198">
        <v>0</v>
      </c>
      <c r="P5" s="198">
        <v>0</v>
      </c>
      <c r="Q5" s="198">
        <v>0</v>
      </c>
      <c r="R5" s="198">
        <v>0</v>
      </c>
      <c r="S5" s="203">
        <v>5000005000</v>
      </c>
      <c r="T5" s="196"/>
      <c r="U5" s="204">
        <v>50</v>
      </c>
      <c r="V5" s="204" t="str">
        <f>IF(K19=0,"1ero Grupo C",J19)</f>
        <v>1ero Grupo C</v>
      </c>
      <c r="W5" s="204" t="str">
        <f>IF('Antonio J'!Q17="","",'Antonio J'!Q17)</f>
        <v/>
      </c>
      <c r="X5" s="204" t="str">
        <f>'Antonio J'!R17</f>
        <v/>
      </c>
      <c r="Y5" s="204" t="str">
        <f>'Antonio J'!T17</f>
        <v/>
      </c>
      <c r="Z5" s="204" t="str">
        <f>IF('Antonio J'!U17="","",'Antonio J'!U17)</f>
        <v/>
      </c>
      <c r="AA5" s="204" t="str">
        <f>IF(K28=0,"2do Grupo D",J28)</f>
        <v>2do Grupo D</v>
      </c>
      <c r="AB5" s="204" t="str">
        <f>'Antonio J'!X17</f>
        <v>Costa de Marfil</v>
      </c>
      <c r="AC5" s="204">
        <f>IF('Antonio J'!Y17="","",'Antonio J'!Y17)</f>
        <v>0</v>
      </c>
      <c r="AD5" s="204">
        <f>IF('Antonio J'!AG17="","",'Antonio J'!AG17)</f>
        <v>0</v>
      </c>
      <c r="AE5" s="204">
        <f>IF('Antonio J'!AH17="","",'Antonio J'!AH17)</f>
        <v>0</v>
      </c>
      <c r="AF5" s="204">
        <f>IF('Antonio J'!AA17="","",'Antonio J'!AA17)</f>
        <v>2</v>
      </c>
      <c r="AG5" s="204" t="str">
        <f>'Antonio J'!AB17</f>
        <v>Italia</v>
      </c>
      <c r="AH5" s="204" t="str">
        <f t="shared" ref="AH5:AH19" si="16">IF(SUM($W5:$X5)&gt;SUM($Y5:$Z5),V5,IF(SUM($W5:$X5)&lt;SUM($Y5:$Z5),AA5,""))</f>
        <v/>
      </c>
      <c r="AI5" s="204" t="str">
        <f>IF(SUM($W5:$X5)&gt;SUM($Y5:$Z5),AA5,IF(SUM($W5:$X5)&lt;SUM($Y5:$Z5),V5,""))</f>
        <v/>
      </c>
      <c r="AJ5" s="196" t="e">
        <f t="array" ref="AJ5">MATCH(AB5 &amp; AG5,$V$4:$V$11 &amp; $AA$4:$AA$11,0)</f>
        <v>#N/A</v>
      </c>
      <c r="AK5" s="195" t="e">
        <f t="array" ref="AK5">MATCH(AB5 &amp; AG5,$AA$4:$AA$11 &amp; $V$4:$V$11,0)</f>
        <v>#N/A</v>
      </c>
      <c r="AL5" s="195">
        <f>IF(ISERROR(AJ5),0,IF(OR(W5="",Z5=""),0,AJ5))</f>
        <v>0</v>
      </c>
      <c r="AM5" s="195">
        <f t="shared" ref="AM5:AM17" si="17">IF(ISERROR(AK5),0,IF(OR(W5="",Z5=""),0,AK5))</f>
        <v>0</v>
      </c>
      <c r="AN5" s="195" t="str">
        <f t="shared" ref="AN5:AN11" ca="1" si="18">IF($AL5+$AM5=0,"",INDIRECT(ADDRESS($AL5+$AM5+ROW($U$4)-1,AN$2)))</f>
        <v/>
      </c>
      <c r="AO5" s="195" t="str">
        <f t="shared" ca="1" si="15"/>
        <v/>
      </c>
      <c r="AP5" s="195" t="str">
        <f t="shared" ca="1" si="15"/>
        <v/>
      </c>
      <c r="AQ5" s="195" t="str">
        <f t="shared" ca="1" si="15"/>
        <v/>
      </c>
      <c r="AR5" s="195">
        <f t="shared" ref="AR5:AR19" si="19">IF(AL5=0,0,IF(OR(AND(AT5&gt;AU5,AV5&gt;AW5),AND(AT5&lt;AU5,AV5&lt;AW5),AND(AT5=AU5,AV5=AW5)),1,0))+IF(AM5=0,0,IF(OR(AND(AT5&gt;AU5,AV5&lt;AW5),AND(AT5&lt;AU5,AV5&gt;AW5),AND(AT5=AU5,AV5=AW5)),1,0))</f>
        <v>0</v>
      </c>
      <c r="AS5" s="195">
        <f t="shared" ref="AS5:AS19" si="20">IF(AL5=0,0,IF(AND(AT5=AV5,AU5=AW5),1,0))+IF(AM5=0,0,IF(AND(AT5=AW5,AU5=AV5),1,0))</f>
        <v>0</v>
      </c>
      <c r="AT5" s="195" t="str">
        <f t="shared" ref="AT5:AT19" ca="1" si="21">IF($AR$1="NO",AN5,SUM(AN5:AO5))</f>
        <v/>
      </c>
      <c r="AU5" s="195" t="str">
        <f t="shared" ref="AU5:AU19" ca="1" si="22">IF($AR$1="NO",AQ5,SUM(AP5:AQ5))</f>
        <v/>
      </c>
      <c r="AV5" s="195">
        <f t="shared" ref="AV5:AV19" si="23">IF($AR$1="NO",AC5,SUM(AC5:AD5))</f>
        <v>0</v>
      </c>
      <c r="AW5" s="195">
        <f t="shared" ref="AW5:AW19" si="24">IF($AR$1="NO",AF5,SUM(AE5:AF5))</f>
        <v>2</v>
      </c>
      <c r="AX5" s="201" t="str">
        <f>Config!O4</f>
        <v>Camerún</v>
      </c>
      <c r="AY5" s="195">
        <f t="shared" si="0"/>
        <v>0</v>
      </c>
      <c r="AZ5" s="195">
        <f t="shared" si="1"/>
        <v>0</v>
      </c>
      <c r="BA5" s="197">
        <f t="shared" si="2"/>
        <v>0</v>
      </c>
      <c r="BB5" s="195">
        <f t="shared" si="3"/>
        <v>0</v>
      </c>
      <c r="BC5" s="197">
        <f t="shared" si="4"/>
        <v>0</v>
      </c>
      <c r="BD5" s="195">
        <f t="shared" si="5"/>
        <v>0</v>
      </c>
      <c r="BE5" s="197">
        <f t="shared" si="6"/>
        <v>0</v>
      </c>
      <c r="BF5" s="195">
        <f t="shared" si="7"/>
        <v>0</v>
      </c>
      <c r="BG5" s="197">
        <f t="shared" si="8"/>
        <v>0</v>
      </c>
      <c r="BH5" s="195">
        <f t="shared" si="9"/>
        <v>0</v>
      </c>
      <c r="BI5" s="197">
        <f t="shared" si="10"/>
        <v>0</v>
      </c>
      <c r="BJ5" s="195">
        <f t="shared" si="11"/>
        <v>0</v>
      </c>
      <c r="BK5" s="197">
        <f t="shared" si="12"/>
        <v>0</v>
      </c>
      <c r="BL5" s="195">
        <f t="shared" si="13"/>
        <v>0</v>
      </c>
      <c r="BM5" s="197">
        <f t="shared" si="14"/>
        <v>0</v>
      </c>
      <c r="BN5" s="197"/>
    </row>
    <row r="6" spans="1:66" ht="12.95" customHeight="1" x14ac:dyDescent="0.25">
      <c r="A6" s="198" t="str">
        <f>'Antonio J'!B20</f>
        <v>Croacia</v>
      </c>
      <c r="B6" s="198" t="str">
        <f>IF('Antonio J'!C20="","",'Antonio J'!C20)</f>
        <v/>
      </c>
      <c r="C6" s="198" t="s">
        <v>24</v>
      </c>
      <c r="D6" s="198" t="str">
        <f>IF('Antonio J'!E20="","",'Antonio J'!E20)</f>
        <v/>
      </c>
      <c r="E6" s="198" t="str">
        <f>'Antonio J'!F20</f>
        <v>México</v>
      </c>
      <c r="F6" s="195"/>
      <c r="G6" s="195" t="str">
        <f>E3</f>
        <v>Camerún</v>
      </c>
      <c r="H6" s="195" t="str">
        <f>IF('Antonio J'!N19="","",'Antonio J'!N19)</f>
        <v/>
      </c>
      <c r="I6" s="195"/>
      <c r="J6" s="202" t="str">
        <v>Croacia</v>
      </c>
      <c r="K6" s="198">
        <v>1</v>
      </c>
      <c r="L6" s="198">
        <v>0</v>
      </c>
      <c r="M6" s="198">
        <v>0</v>
      </c>
      <c r="N6" s="198">
        <v>1</v>
      </c>
      <c r="O6" s="198">
        <v>1</v>
      </c>
      <c r="P6" s="198">
        <v>3</v>
      </c>
      <c r="Q6" s="198">
        <v>-2</v>
      </c>
      <c r="R6" s="198">
        <v>0</v>
      </c>
      <c r="S6" s="203">
        <v>4801000000</v>
      </c>
      <c r="T6" s="196"/>
      <c r="U6" s="204">
        <v>51</v>
      </c>
      <c r="V6" s="204" t="str">
        <f>IF(K11=0,"1ero Grupo B",J11)</f>
        <v>1ero Grupo B</v>
      </c>
      <c r="W6" s="204" t="str">
        <f>IF('Antonio J'!Q18="","",'Antonio J'!Q18)</f>
        <v/>
      </c>
      <c r="X6" s="204" t="str">
        <f>'Antonio J'!R18</f>
        <v/>
      </c>
      <c r="Y6" s="204" t="str">
        <f>'Antonio J'!T18</f>
        <v/>
      </c>
      <c r="Z6" s="204" t="str">
        <f>IF('Antonio J'!U18="","",'Antonio J'!U18)</f>
        <v/>
      </c>
      <c r="AA6" s="204" t="str">
        <f>IF(K4=0,"2do Grupo A",J4)</f>
        <v>2do Grupo A</v>
      </c>
      <c r="AB6" s="204" t="str">
        <f>'Antonio J'!X18</f>
        <v>España</v>
      </c>
      <c r="AC6" s="204">
        <f>IF('Antonio J'!Y18="","",'Antonio J'!Y18)</f>
        <v>1</v>
      </c>
      <c r="AD6" s="204">
        <f>IF('Antonio J'!AG18="","",'Antonio J'!AG18)</f>
        <v>0</v>
      </c>
      <c r="AE6" s="204">
        <f>IF('Antonio J'!AH18="","",'Antonio J'!AH18)</f>
        <v>0</v>
      </c>
      <c r="AF6" s="204">
        <f>IF('Antonio J'!AA18="","",'Antonio J'!AA18)</f>
        <v>0</v>
      </c>
      <c r="AG6" s="204" t="str">
        <f>'Antonio J'!AB18</f>
        <v>México</v>
      </c>
      <c r="AH6" s="204" t="str">
        <f t="shared" si="16"/>
        <v/>
      </c>
      <c r="AI6" s="204" t="str">
        <f>IF(SUM($W6:$X6)&gt;SUM($Y6:$Z6),AA6,IF(SUM($W6:$X6)&lt;SUM($Y6:$Z6),V6,""))</f>
        <v/>
      </c>
      <c r="AJ6" s="196" t="e">
        <f t="array" ref="AJ6">MATCH(AB6 &amp; AG6,$V$4:$V$11 &amp; $AA$4:$AA$11,0)</f>
        <v>#N/A</v>
      </c>
      <c r="AK6" s="195" t="e">
        <f t="array" ref="AK6">MATCH(AB6 &amp; AG6,$AA$4:$AA$11 &amp; $V$4:$V$11,0)</f>
        <v>#N/A</v>
      </c>
      <c r="AL6" s="195">
        <f t="shared" ref="AL6:AL17" si="25">IF(ISERROR(AJ6),0,IF(OR(W6="",Z6=""),0,AJ6))</f>
        <v>0</v>
      </c>
      <c r="AM6" s="195">
        <f t="shared" si="17"/>
        <v>0</v>
      </c>
      <c r="AN6" s="195" t="str">
        <f t="shared" ca="1" si="18"/>
        <v/>
      </c>
      <c r="AO6" s="195" t="str">
        <f t="shared" ca="1" si="15"/>
        <v/>
      </c>
      <c r="AP6" s="195" t="str">
        <f t="shared" ca="1" si="15"/>
        <v/>
      </c>
      <c r="AQ6" s="195" t="str">
        <f t="shared" ca="1" si="15"/>
        <v/>
      </c>
      <c r="AR6" s="195">
        <f t="shared" si="19"/>
        <v>0</v>
      </c>
      <c r="AS6" s="195">
        <f t="shared" si="20"/>
        <v>0</v>
      </c>
      <c r="AT6" s="195" t="str">
        <f t="shared" ca="1" si="21"/>
        <v/>
      </c>
      <c r="AU6" s="195" t="str">
        <f t="shared" ca="1" si="22"/>
        <v/>
      </c>
      <c r="AV6" s="195">
        <f t="shared" si="23"/>
        <v>1</v>
      </c>
      <c r="AW6" s="195">
        <f t="shared" si="24"/>
        <v>0</v>
      </c>
      <c r="AX6" s="201" t="str">
        <f>Config!O5</f>
        <v>España</v>
      </c>
      <c r="AY6" s="195">
        <f t="shared" si="0"/>
        <v>0</v>
      </c>
      <c r="AZ6" s="195">
        <f t="shared" si="1"/>
        <v>0</v>
      </c>
      <c r="BA6" s="197">
        <f t="shared" si="2"/>
        <v>0</v>
      </c>
      <c r="BB6" s="195">
        <f t="shared" si="3"/>
        <v>0</v>
      </c>
      <c r="BC6" s="197">
        <f t="shared" si="4"/>
        <v>0</v>
      </c>
      <c r="BD6" s="195">
        <f t="shared" si="5"/>
        <v>0</v>
      </c>
      <c r="BE6" s="197">
        <f t="shared" si="6"/>
        <v>0</v>
      </c>
      <c r="BF6" s="195">
        <f t="shared" si="7"/>
        <v>0</v>
      </c>
      <c r="BG6" s="197">
        <f t="shared" si="8"/>
        <v>0</v>
      </c>
      <c r="BH6" s="195">
        <f t="shared" si="9"/>
        <v>0</v>
      </c>
      <c r="BI6" s="197">
        <f t="shared" si="10"/>
        <v>0</v>
      </c>
      <c r="BJ6" s="195">
        <f t="shared" si="11"/>
        <v>0</v>
      </c>
      <c r="BK6" s="197">
        <f t="shared" si="12"/>
        <v>0</v>
      </c>
      <c r="BL6" s="195">
        <f t="shared" si="13"/>
        <v>0</v>
      </c>
      <c r="BM6" s="197">
        <f t="shared" si="14"/>
        <v>0</v>
      </c>
      <c r="BN6" s="197"/>
    </row>
    <row r="7" spans="1:66" ht="12.95" customHeight="1" x14ac:dyDescent="0.25">
      <c r="A7" s="198" t="str">
        <f>'Antonio J'!B21</f>
        <v>Camerún</v>
      </c>
      <c r="B7" s="198" t="str">
        <f>IF('Antonio J'!C21="","",'Antonio J'!C21)</f>
        <v/>
      </c>
      <c r="C7" s="198" t="s">
        <v>24</v>
      </c>
      <c r="D7" s="198" t="str">
        <f>IF('Antonio J'!E21="","",'Antonio J'!E21)</f>
        <v/>
      </c>
      <c r="E7" s="198" t="str">
        <f>'Antonio J'!F21</f>
        <v>Brasil</v>
      </c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205"/>
      <c r="T7" s="196"/>
      <c r="U7" s="204">
        <v>52</v>
      </c>
      <c r="V7" s="204" t="str">
        <f>IF(K27=0,"1ero Grupo D",J27)</f>
        <v>1ero Grupo D</v>
      </c>
      <c r="W7" s="204" t="str">
        <f>IF('Antonio J'!Q19="","",'Antonio J'!Q19)</f>
        <v/>
      </c>
      <c r="X7" s="204" t="str">
        <f>'Antonio J'!R19</f>
        <v/>
      </c>
      <c r="Y7" s="204" t="str">
        <f>'Antonio J'!T19</f>
        <v/>
      </c>
      <c r="Z7" s="204" t="str">
        <f>IF('Antonio J'!U19="","",'Antonio J'!U19)</f>
        <v/>
      </c>
      <c r="AA7" s="204" t="str">
        <f>IF(K20=0,"2do Grupo C",J20)</f>
        <v>2do Grupo C</v>
      </c>
      <c r="AB7" s="204" t="str">
        <f>'Antonio J'!X19</f>
        <v>Uruguay</v>
      </c>
      <c r="AC7" s="204">
        <f>IF('Antonio J'!Y19="","",'Antonio J'!Y19)</f>
        <v>3</v>
      </c>
      <c r="AD7" s="204">
        <f>IF('Antonio J'!AG19="","",'Antonio J'!AG19)</f>
        <v>0</v>
      </c>
      <c r="AE7" s="204">
        <f>IF('Antonio J'!AH19="","",'Antonio J'!AH19)</f>
        <v>0</v>
      </c>
      <c r="AF7" s="204">
        <f>IF('Antonio J'!AA19="","",'Antonio J'!AA19)</f>
        <v>0</v>
      </c>
      <c r="AG7" s="204" t="str">
        <f>'Antonio J'!AB19</f>
        <v>Colombia</v>
      </c>
      <c r="AH7" s="204" t="str">
        <f t="shared" si="16"/>
        <v/>
      </c>
      <c r="AI7" s="204" t="str">
        <f t="shared" ref="AI7:AI19" si="26">IF(SUM($W7:$X7)&gt;SUM($Y7:$Z7),AA7,IF(SUM($W7:$X7)&lt;SUM($Y7:$Z7),V7,""))</f>
        <v/>
      </c>
      <c r="AJ7" s="196" t="e">
        <f t="array" ref="AJ7">MATCH(AB7 &amp; AG7,$V$4:$V$11 &amp; $AA$4:$AA$11,0)</f>
        <v>#N/A</v>
      </c>
      <c r="AK7" s="195" t="e">
        <f t="array" ref="AK7">MATCH(AB7 &amp; AG7,$AA$4:$AA$11 &amp; $V$4:$V$11,0)</f>
        <v>#N/A</v>
      </c>
      <c r="AL7" s="195">
        <f t="shared" si="25"/>
        <v>0</v>
      </c>
      <c r="AM7" s="195">
        <f t="shared" si="17"/>
        <v>0</v>
      </c>
      <c r="AN7" s="195" t="str">
        <f t="shared" ca="1" si="18"/>
        <v/>
      </c>
      <c r="AO7" s="195" t="str">
        <f t="shared" ca="1" si="15"/>
        <v/>
      </c>
      <c r="AP7" s="195" t="str">
        <f t="shared" ca="1" si="15"/>
        <v/>
      </c>
      <c r="AQ7" s="195" t="str">
        <f t="shared" ca="1" si="15"/>
        <v/>
      </c>
      <c r="AR7" s="195">
        <f t="shared" si="19"/>
        <v>0</v>
      </c>
      <c r="AS7" s="195">
        <f t="shared" si="20"/>
        <v>0</v>
      </c>
      <c r="AT7" s="195" t="str">
        <f t="shared" ca="1" si="21"/>
        <v/>
      </c>
      <c r="AU7" s="195" t="str">
        <f t="shared" ca="1" si="22"/>
        <v/>
      </c>
      <c r="AV7" s="195">
        <f t="shared" si="23"/>
        <v>3</v>
      </c>
      <c r="AW7" s="195">
        <f t="shared" si="24"/>
        <v>0</v>
      </c>
      <c r="AX7" s="201" t="str">
        <f>Config!O6</f>
        <v>Chile</v>
      </c>
      <c r="AY7" s="195">
        <f t="shared" si="0"/>
        <v>0</v>
      </c>
      <c r="AZ7" s="195">
        <f t="shared" si="1"/>
        <v>0</v>
      </c>
      <c r="BA7" s="197">
        <f t="shared" si="2"/>
        <v>0</v>
      </c>
      <c r="BB7" s="195">
        <f t="shared" si="3"/>
        <v>0</v>
      </c>
      <c r="BC7" s="197">
        <f t="shared" si="4"/>
        <v>0</v>
      </c>
      <c r="BD7" s="195">
        <f t="shared" si="5"/>
        <v>0</v>
      </c>
      <c r="BE7" s="197">
        <f t="shared" si="6"/>
        <v>0</v>
      </c>
      <c r="BF7" s="195">
        <f t="shared" si="7"/>
        <v>0</v>
      </c>
      <c r="BG7" s="197">
        <f t="shared" si="8"/>
        <v>0</v>
      </c>
      <c r="BH7" s="195">
        <f t="shared" si="9"/>
        <v>0</v>
      </c>
      <c r="BI7" s="197">
        <f t="shared" si="10"/>
        <v>0</v>
      </c>
      <c r="BJ7" s="195">
        <f t="shared" si="11"/>
        <v>0</v>
      </c>
      <c r="BK7" s="197">
        <f t="shared" si="12"/>
        <v>0</v>
      </c>
      <c r="BL7" s="195">
        <f t="shared" si="13"/>
        <v>0</v>
      </c>
      <c r="BM7" s="197">
        <f t="shared" si="14"/>
        <v>0</v>
      </c>
      <c r="BN7" s="197"/>
    </row>
    <row r="8" spans="1:66" ht="12.95" customHeight="1" x14ac:dyDescent="0.25">
      <c r="A8" s="196"/>
      <c r="B8" s="196"/>
      <c r="C8" s="196"/>
      <c r="D8" s="196"/>
      <c r="E8" s="196"/>
      <c r="F8" s="196"/>
      <c r="G8" s="196"/>
      <c r="H8" s="196"/>
      <c r="I8" s="196"/>
      <c r="J8" s="196"/>
      <c r="K8" s="196"/>
      <c r="L8" s="196"/>
      <c r="M8" s="196"/>
      <c r="N8" s="196"/>
      <c r="O8" s="196"/>
      <c r="P8" s="196"/>
      <c r="Q8" s="196"/>
      <c r="R8" s="196"/>
      <c r="S8" s="196"/>
      <c r="T8" s="196"/>
      <c r="U8" s="204">
        <v>53</v>
      </c>
      <c r="V8" s="204" t="str">
        <f>IF(K35=0,"1ero Grupo E",J35)</f>
        <v>1ero Grupo E</v>
      </c>
      <c r="W8" s="204" t="str">
        <f>IF('Antonio J'!Q20="","",'Antonio J'!Q20)</f>
        <v/>
      </c>
      <c r="X8" s="204" t="str">
        <f>'Antonio J'!R20</f>
        <v/>
      </c>
      <c r="Y8" s="204" t="str">
        <f>'Antonio J'!T20</f>
        <v/>
      </c>
      <c r="Z8" s="204" t="str">
        <f>IF('Antonio J'!U20="","",'Antonio J'!U20)</f>
        <v/>
      </c>
      <c r="AA8" s="204" t="str">
        <f>IF(K44=0,"2do Grupo F",J44)</f>
        <v>2do Grupo F</v>
      </c>
      <c r="AB8" s="204" t="str">
        <f>'Antonio J'!X20</f>
        <v>Ecuador</v>
      </c>
      <c r="AC8" s="204">
        <f>IF('Antonio J'!Y20="","",'Antonio J'!Y20)</f>
        <v>1</v>
      </c>
      <c r="AD8" s="204">
        <f>IF('Antonio J'!AG20="","",'Antonio J'!AG20)</f>
        <v>0</v>
      </c>
      <c r="AE8" s="204">
        <f>IF('Antonio J'!AH20="","",'Antonio J'!AH20)</f>
        <v>0</v>
      </c>
      <c r="AF8" s="204">
        <f>IF('Antonio J'!AA20="","",'Antonio J'!AA20)</f>
        <v>1</v>
      </c>
      <c r="AG8" s="204" t="str">
        <f>'Antonio J'!AB20</f>
        <v>Nigeria</v>
      </c>
      <c r="AH8" s="204" t="str">
        <f t="shared" si="16"/>
        <v/>
      </c>
      <c r="AI8" s="204" t="str">
        <f t="shared" si="26"/>
        <v/>
      </c>
      <c r="AJ8" s="196" t="e">
        <f t="array" ref="AJ8">MATCH(AB8 &amp; AG8,$V$4:$V$11 &amp; $AA$4:$AA$11,0)</f>
        <v>#N/A</v>
      </c>
      <c r="AK8" s="195" t="e">
        <f t="array" ref="AK8">MATCH(AB8 &amp; AG8,$AA$4:$AA$11 &amp; $V$4:$V$11,0)</f>
        <v>#N/A</v>
      </c>
      <c r="AL8" s="195">
        <f t="shared" si="25"/>
        <v>0</v>
      </c>
      <c r="AM8" s="195">
        <f t="shared" si="17"/>
        <v>0</v>
      </c>
      <c r="AN8" s="195" t="str">
        <f t="shared" ca="1" si="18"/>
        <v/>
      </c>
      <c r="AO8" s="195" t="str">
        <f t="shared" ca="1" si="15"/>
        <v/>
      </c>
      <c r="AP8" s="195" t="str">
        <f t="shared" ca="1" si="15"/>
        <v/>
      </c>
      <c r="AQ8" s="195" t="str">
        <f t="shared" ca="1" si="15"/>
        <v/>
      </c>
      <c r="AR8" s="195">
        <f t="shared" si="19"/>
        <v>0</v>
      </c>
      <c r="AS8" s="195">
        <f t="shared" si="20"/>
        <v>0</v>
      </c>
      <c r="AT8" s="195" t="str">
        <f t="shared" ca="1" si="21"/>
        <v/>
      </c>
      <c r="AU8" s="195" t="str">
        <f t="shared" ca="1" si="22"/>
        <v/>
      </c>
      <c r="AV8" s="195">
        <f t="shared" si="23"/>
        <v>1</v>
      </c>
      <c r="AW8" s="195">
        <f t="shared" si="24"/>
        <v>1</v>
      </c>
      <c r="AX8" s="201" t="str">
        <f>Config!O7</f>
        <v>Países Bajos</v>
      </c>
      <c r="AY8" s="195">
        <f t="shared" si="0"/>
        <v>0</v>
      </c>
      <c r="AZ8" s="195">
        <f t="shared" si="1"/>
        <v>0</v>
      </c>
      <c r="BA8" s="197">
        <f t="shared" si="2"/>
        <v>0</v>
      </c>
      <c r="BB8" s="195">
        <f t="shared" si="3"/>
        <v>0</v>
      </c>
      <c r="BC8" s="197">
        <f t="shared" si="4"/>
        <v>0</v>
      </c>
      <c r="BD8" s="195">
        <f t="shared" si="5"/>
        <v>0</v>
      </c>
      <c r="BE8" s="197">
        <f t="shared" si="6"/>
        <v>0</v>
      </c>
      <c r="BF8" s="195">
        <f t="shared" si="7"/>
        <v>0</v>
      </c>
      <c r="BG8" s="197">
        <f t="shared" si="8"/>
        <v>0</v>
      </c>
      <c r="BH8" s="195">
        <f t="shared" si="9"/>
        <v>0</v>
      </c>
      <c r="BI8" s="197">
        <f t="shared" si="10"/>
        <v>0</v>
      </c>
      <c r="BJ8" s="195">
        <f t="shared" si="11"/>
        <v>0</v>
      </c>
      <c r="BK8" s="197">
        <f t="shared" si="12"/>
        <v>0</v>
      </c>
      <c r="BL8" s="195">
        <f t="shared" si="13"/>
        <v>0</v>
      </c>
      <c r="BM8" s="197">
        <f t="shared" si="14"/>
        <v>0</v>
      </c>
      <c r="BN8" s="197"/>
    </row>
    <row r="9" spans="1:66" ht="12.95" customHeight="1" x14ac:dyDescent="0.25">
      <c r="A9" s="194" t="s">
        <v>4</v>
      </c>
      <c r="B9" s="194"/>
      <c r="C9" s="194"/>
      <c r="D9" s="194"/>
      <c r="E9" s="194"/>
      <c r="F9" s="195"/>
      <c r="G9" s="195"/>
      <c r="H9" s="195"/>
      <c r="I9" s="195"/>
      <c r="J9" s="194" t="s">
        <v>30</v>
      </c>
      <c r="K9" s="194"/>
      <c r="L9" s="194"/>
      <c r="M9" s="194"/>
      <c r="N9" s="194"/>
      <c r="O9" s="194"/>
      <c r="P9" s="194"/>
      <c r="Q9" s="194"/>
      <c r="R9" s="194"/>
      <c r="S9" s="194"/>
      <c r="T9" s="196"/>
      <c r="U9" s="204">
        <v>54</v>
      </c>
      <c r="V9" s="204" t="str">
        <f>IF(K51=0,"1ero Grupo G",J51)</f>
        <v>1ero Grupo G</v>
      </c>
      <c r="W9" s="204" t="str">
        <f>IF('Antonio J'!Q21="","",'Antonio J'!Q21)</f>
        <v/>
      </c>
      <c r="X9" s="204" t="str">
        <f>'Antonio J'!R21</f>
        <v/>
      </c>
      <c r="Y9" s="204" t="str">
        <f>'Antonio J'!T21</f>
        <v/>
      </c>
      <c r="Z9" s="204" t="str">
        <f>IF('Antonio J'!U21="","",'Antonio J'!U21)</f>
        <v/>
      </c>
      <c r="AA9" s="204" t="str">
        <f>IF(K60=0,"2do Grupo H",J60)</f>
        <v>2do Grupo H</v>
      </c>
      <c r="AB9" s="204" t="str">
        <f>'Antonio J'!X21</f>
        <v>Portugal</v>
      </c>
      <c r="AC9" s="204">
        <f>IF('Antonio J'!Y21="","",'Antonio J'!Y21)</f>
        <v>2</v>
      </c>
      <c r="AD9" s="204">
        <f>IF('Antonio J'!AG21="","",'Antonio J'!AG21)</f>
        <v>0</v>
      </c>
      <c r="AE9" s="204">
        <f>IF('Antonio J'!AH21="","",'Antonio J'!AH21)</f>
        <v>0</v>
      </c>
      <c r="AF9" s="204">
        <f>IF('Antonio J'!AA21="","",'Antonio J'!AA21)</f>
        <v>1</v>
      </c>
      <c r="AG9" s="204" t="str">
        <f>'Antonio J'!AB21</f>
        <v>República de Corea</v>
      </c>
      <c r="AH9" s="204" t="str">
        <f t="shared" si="16"/>
        <v/>
      </c>
      <c r="AI9" s="204" t="str">
        <f t="shared" si="26"/>
        <v/>
      </c>
      <c r="AJ9" s="196" t="e">
        <f t="array" ref="AJ9">MATCH(AB9 &amp; AG9,$V$4:$V$11 &amp; $AA$4:$AA$11,0)</f>
        <v>#N/A</v>
      </c>
      <c r="AK9" s="195" t="e">
        <f t="array" ref="AK9">MATCH(AB9 &amp; AG9,$AA$4:$AA$11 &amp; $V$4:$V$11,0)</f>
        <v>#N/A</v>
      </c>
      <c r="AL9" s="195">
        <f t="shared" si="25"/>
        <v>0</v>
      </c>
      <c r="AM9" s="195">
        <f t="shared" si="17"/>
        <v>0</v>
      </c>
      <c r="AN9" s="195" t="str">
        <f t="shared" ca="1" si="18"/>
        <v/>
      </c>
      <c r="AO9" s="195" t="str">
        <f t="shared" ca="1" si="15"/>
        <v/>
      </c>
      <c r="AP9" s="195" t="str">
        <f t="shared" ca="1" si="15"/>
        <v/>
      </c>
      <c r="AQ9" s="195" t="str">
        <f t="shared" ca="1" si="15"/>
        <v/>
      </c>
      <c r="AR9" s="195">
        <f t="shared" si="19"/>
        <v>0</v>
      </c>
      <c r="AS9" s="195">
        <f t="shared" si="20"/>
        <v>0</v>
      </c>
      <c r="AT9" s="195" t="str">
        <f t="shared" ca="1" si="21"/>
        <v/>
      </c>
      <c r="AU9" s="195" t="str">
        <f t="shared" ca="1" si="22"/>
        <v/>
      </c>
      <c r="AV9" s="195">
        <f t="shared" si="23"/>
        <v>2</v>
      </c>
      <c r="AW9" s="195">
        <f t="shared" si="24"/>
        <v>1</v>
      </c>
      <c r="AX9" s="201" t="str">
        <f>Config!O8</f>
        <v>Australia</v>
      </c>
      <c r="AY9" s="195">
        <f t="shared" si="0"/>
        <v>0</v>
      </c>
      <c r="AZ9" s="195">
        <f t="shared" si="1"/>
        <v>0</v>
      </c>
      <c r="BA9" s="197">
        <f t="shared" si="2"/>
        <v>0</v>
      </c>
      <c r="BB9" s="195">
        <f t="shared" si="3"/>
        <v>0</v>
      </c>
      <c r="BC9" s="197">
        <f t="shared" si="4"/>
        <v>0</v>
      </c>
      <c r="BD9" s="195">
        <f t="shared" si="5"/>
        <v>0</v>
      </c>
      <c r="BE9" s="197">
        <f t="shared" si="6"/>
        <v>0</v>
      </c>
      <c r="BF9" s="195">
        <f t="shared" si="7"/>
        <v>0</v>
      </c>
      <c r="BG9" s="197">
        <f t="shared" si="8"/>
        <v>0</v>
      </c>
      <c r="BH9" s="195">
        <f t="shared" si="9"/>
        <v>0</v>
      </c>
      <c r="BI9" s="197">
        <f t="shared" si="10"/>
        <v>0</v>
      </c>
      <c r="BJ9" s="195">
        <f t="shared" si="11"/>
        <v>0</v>
      </c>
      <c r="BK9" s="197">
        <f t="shared" si="12"/>
        <v>0</v>
      </c>
      <c r="BL9" s="195">
        <f t="shared" si="13"/>
        <v>0</v>
      </c>
      <c r="BM9" s="197">
        <f t="shared" si="14"/>
        <v>0</v>
      </c>
      <c r="BN9" s="197"/>
    </row>
    <row r="10" spans="1:66" ht="12.95" customHeight="1" x14ac:dyDescent="0.25">
      <c r="A10" s="198" t="str">
        <f>'Antonio J'!B27</f>
        <v>España</v>
      </c>
      <c r="B10" s="198" t="str">
        <f>IF('Antonio J'!C27="","",'Antonio J'!C27)</f>
        <v/>
      </c>
      <c r="C10" s="198" t="s">
        <v>24</v>
      </c>
      <c r="D10" s="198" t="str">
        <f>IF('Antonio J'!E27="","",'Antonio J'!E27)</f>
        <v/>
      </c>
      <c r="E10" s="198" t="str">
        <f>'Antonio J'!F27</f>
        <v>Países Bajos</v>
      </c>
      <c r="F10" s="195"/>
      <c r="G10" s="194" t="s">
        <v>476</v>
      </c>
      <c r="H10" s="194"/>
      <c r="I10" s="195"/>
      <c r="J10" s="195" t="s">
        <v>464</v>
      </c>
      <c r="K10" s="199" t="s">
        <v>31</v>
      </c>
      <c r="L10" s="199" t="s">
        <v>32</v>
      </c>
      <c r="M10" s="199" t="s">
        <v>33</v>
      </c>
      <c r="N10" s="199" t="s">
        <v>34</v>
      </c>
      <c r="O10" s="199" t="s">
        <v>35</v>
      </c>
      <c r="P10" s="199" t="s">
        <v>36</v>
      </c>
      <c r="Q10" s="199" t="s">
        <v>37</v>
      </c>
      <c r="R10" s="199" t="s">
        <v>38</v>
      </c>
      <c r="S10" s="200" t="s">
        <v>477</v>
      </c>
      <c r="T10" s="196"/>
      <c r="U10" s="204">
        <v>55</v>
      </c>
      <c r="V10" s="204" t="str">
        <f>IF(K43=0,"1ero Grupo F",J43)</f>
        <v>1ero Grupo F</v>
      </c>
      <c r="W10" s="204" t="str">
        <f>IF('Antonio J'!Q22="","",'Antonio J'!Q22)</f>
        <v/>
      </c>
      <c r="X10" s="204" t="str">
        <f>'Antonio J'!R22</f>
        <v/>
      </c>
      <c r="Y10" s="204" t="str">
        <f>'Antonio J'!T22</f>
        <v/>
      </c>
      <c r="Z10" s="204" t="str">
        <f>IF('Antonio J'!U22="","",'Antonio J'!U22)</f>
        <v/>
      </c>
      <c r="AA10" s="204" t="str">
        <f>IF(K36=0,"2do Grupo E",J36)</f>
        <v>2do Grupo E</v>
      </c>
      <c r="AB10" s="204" t="str">
        <f>'Antonio J'!X22</f>
        <v>Argentina</v>
      </c>
      <c r="AC10" s="204">
        <f>IF('Antonio J'!Y22="","",'Antonio J'!Y22)</f>
        <v>3</v>
      </c>
      <c r="AD10" s="204">
        <f>IF('Antonio J'!AG22="","",'Antonio J'!AG22)</f>
        <v>0</v>
      </c>
      <c r="AE10" s="204">
        <f>IF('Antonio J'!AH22="","",'Antonio J'!AH22)</f>
        <v>0</v>
      </c>
      <c r="AF10" s="204">
        <f>IF('Antonio J'!AA22="","",'Antonio J'!AA22)</f>
        <v>0</v>
      </c>
      <c r="AG10" s="204" t="str">
        <f>'Antonio J'!AB22</f>
        <v>Suiza</v>
      </c>
      <c r="AH10" s="204" t="str">
        <f t="shared" si="16"/>
        <v/>
      </c>
      <c r="AI10" s="204" t="str">
        <f t="shared" si="26"/>
        <v/>
      </c>
      <c r="AJ10" s="196" t="e">
        <f t="array" ref="AJ10">MATCH(AB10 &amp; AG10,$V$4:$V$11 &amp; $AA$4:$AA$11,0)</f>
        <v>#N/A</v>
      </c>
      <c r="AK10" s="195" t="e">
        <f t="array" ref="AK10">MATCH(AB10 &amp; AG10,$AA$4:$AA$11 &amp; $V$4:$V$11,0)</f>
        <v>#N/A</v>
      </c>
      <c r="AL10" s="195">
        <f t="shared" si="25"/>
        <v>0</v>
      </c>
      <c r="AM10" s="195">
        <f t="shared" si="17"/>
        <v>0</v>
      </c>
      <c r="AN10" s="195" t="str">
        <f t="shared" ca="1" si="18"/>
        <v/>
      </c>
      <c r="AO10" s="195" t="str">
        <f t="shared" ca="1" si="15"/>
        <v/>
      </c>
      <c r="AP10" s="195" t="str">
        <f t="shared" ca="1" si="15"/>
        <v/>
      </c>
      <c r="AQ10" s="195" t="str">
        <f t="shared" ca="1" si="15"/>
        <v/>
      </c>
      <c r="AR10" s="195">
        <f t="shared" si="19"/>
        <v>0</v>
      </c>
      <c r="AS10" s="195">
        <f t="shared" si="20"/>
        <v>0</v>
      </c>
      <c r="AT10" s="195" t="str">
        <f t="shared" ca="1" si="21"/>
        <v/>
      </c>
      <c r="AU10" s="195" t="str">
        <f t="shared" ca="1" si="22"/>
        <v/>
      </c>
      <c r="AV10" s="195">
        <f t="shared" si="23"/>
        <v>3</v>
      </c>
      <c r="AW10" s="195">
        <f t="shared" si="24"/>
        <v>0</v>
      </c>
      <c r="AX10" s="201" t="str">
        <f>Config!O9</f>
        <v>Colombia</v>
      </c>
      <c r="AY10" s="195">
        <f t="shared" si="0"/>
        <v>0</v>
      </c>
      <c r="AZ10" s="195">
        <f t="shared" si="1"/>
        <v>0</v>
      </c>
      <c r="BA10" s="197">
        <f t="shared" si="2"/>
        <v>0</v>
      </c>
      <c r="BB10" s="195">
        <f t="shared" si="3"/>
        <v>0</v>
      </c>
      <c r="BC10" s="197">
        <f t="shared" si="4"/>
        <v>0</v>
      </c>
      <c r="BD10" s="195">
        <f t="shared" si="5"/>
        <v>0</v>
      </c>
      <c r="BE10" s="197">
        <f t="shared" si="6"/>
        <v>0</v>
      </c>
      <c r="BF10" s="195">
        <f t="shared" si="7"/>
        <v>0</v>
      </c>
      <c r="BG10" s="197">
        <f t="shared" si="8"/>
        <v>0</v>
      </c>
      <c r="BH10" s="195">
        <f t="shared" si="9"/>
        <v>0</v>
      </c>
      <c r="BI10" s="197">
        <f t="shared" si="10"/>
        <v>0</v>
      </c>
      <c r="BJ10" s="195">
        <f t="shared" si="11"/>
        <v>0</v>
      </c>
      <c r="BK10" s="197">
        <f t="shared" si="12"/>
        <v>0</v>
      </c>
      <c r="BL10" s="195">
        <f t="shared" si="13"/>
        <v>0</v>
      </c>
      <c r="BM10" s="197">
        <f t="shared" si="14"/>
        <v>0</v>
      </c>
      <c r="BN10" s="197"/>
    </row>
    <row r="11" spans="1:66" ht="12.95" customHeight="1" x14ac:dyDescent="0.25">
      <c r="A11" s="198" t="str">
        <f>'Antonio J'!B28</f>
        <v>Chile</v>
      </c>
      <c r="B11" s="198" t="str">
        <f>IF('Antonio J'!C28="","",'Antonio J'!C28)</f>
        <v/>
      </c>
      <c r="C11" s="198" t="s">
        <v>24</v>
      </c>
      <c r="D11" s="198" t="str">
        <f>IF('Antonio J'!E28="","",'Antonio J'!E28)</f>
        <v/>
      </c>
      <c r="E11" s="198" t="str">
        <f>'Antonio J'!F28</f>
        <v>Australia</v>
      </c>
      <c r="F11" s="195"/>
      <c r="G11" s="195" t="str">
        <f>A10</f>
        <v>España</v>
      </c>
      <c r="H11" s="195" t="str">
        <f>IF('Antonio J'!N27="","",'Antonio J'!N27)</f>
        <v/>
      </c>
      <c r="I11" s="195"/>
      <c r="J11" s="202" t="str">
        <f t="array" ref="J11:S14">Obtiene_Datos(A10:E15,G11:H14,A9)</f>
        <v>España</v>
      </c>
      <c r="K11" s="198">
        <v>0</v>
      </c>
      <c r="L11" s="198">
        <v>0</v>
      </c>
      <c r="M11" s="198">
        <v>0</v>
      </c>
      <c r="N11" s="198">
        <v>0</v>
      </c>
      <c r="O11" s="198">
        <v>0</v>
      </c>
      <c r="P11" s="198">
        <v>0</v>
      </c>
      <c r="Q11" s="198">
        <v>0</v>
      </c>
      <c r="R11" s="198">
        <v>0</v>
      </c>
      <c r="S11" s="203">
        <v>5000005000</v>
      </c>
      <c r="T11" s="196"/>
      <c r="U11" s="204">
        <v>56</v>
      </c>
      <c r="V11" s="204" t="str">
        <f>IF(K59=0,"1ero Grupo H",J59)</f>
        <v>1ero Grupo H</v>
      </c>
      <c r="W11" s="204" t="str">
        <f>IF('Antonio J'!Q23="","",'Antonio J'!Q23)</f>
        <v/>
      </c>
      <c r="X11" s="204" t="str">
        <f>'Antonio J'!R23</f>
        <v/>
      </c>
      <c r="Y11" s="204" t="str">
        <f>'Antonio J'!T23</f>
        <v/>
      </c>
      <c r="Z11" s="204" t="str">
        <f>IF('Antonio J'!U23="","",'Antonio J'!U23)</f>
        <v/>
      </c>
      <c r="AA11" s="204" t="str">
        <f>IF(K52=0,"2do Grupo G",J52)</f>
        <v>2do Grupo G</v>
      </c>
      <c r="AB11" s="204" t="str">
        <f>'Antonio J'!X23</f>
        <v>Bélgica</v>
      </c>
      <c r="AC11" s="204">
        <f>IF('Antonio J'!Y23="","",'Antonio J'!Y23)</f>
        <v>1</v>
      </c>
      <c r="AD11" s="204">
        <f>IF('Antonio J'!AG23="","",'Antonio J'!AG23)</f>
        <v>0</v>
      </c>
      <c r="AE11" s="204">
        <f>IF('Antonio J'!AH23="","",'Antonio J'!AH23)</f>
        <v>0</v>
      </c>
      <c r="AF11" s="204">
        <f>IF('Antonio J'!AA23="","",'Antonio J'!AA23)</f>
        <v>2</v>
      </c>
      <c r="AG11" s="204" t="str">
        <f>'Antonio J'!AB23</f>
        <v>Alemania</v>
      </c>
      <c r="AH11" s="204" t="str">
        <f t="shared" si="16"/>
        <v/>
      </c>
      <c r="AI11" s="204" t="str">
        <f t="shared" si="26"/>
        <v/>
      </c>
      <c r="AJ11" s="196" t="e">
        <f t="array" ref="AJ11">MATCH(AB11 &amp; AG11,$V$4:$V$11 &amp; $AA$4:$AA$11,0)</f>
        <v>#N/A</v>
      </c>
      <c r="AK11" s="195" t="e">
        <f t="array" ref="AK11">MATCH(AB11 &amp; AG11,$AA$4:$AA$11 &amp; $V$4:$V$11,0)</f>
        <v>#N/A</v>
      </c>
      <c r="AL11" s="195">
        <f t="shared" si="25"/>
        <v>0</v>
      </c>
      <c r="AM11" s="195">
        <f t="shared" si="17"/>
        <v>0</v>
      </c>
      <c r="AN11" s="195" t="str">
        <f t="shared" ca="1" si="18"/>
        <v/>
      </c>
      <c r="AO11" s="195" t="str">
        <f t="shared" ca="1" si="15"/>
        <v/>
      </c>
      <c r="AP11" s="195" t="str">
        <f t="shared" ca="1" si="15"/>
        <v/>
      </c>
      <c r="AQ11" s="195" t="str">
        <f t="shared" ca="1" si="15"/>
        <v/>
      </c>
      <c r="AR11" s="195">
        <f t="shared" si="19"/>
        <v>0</v>
      </c>
      <c r="AS11" s="195">
        <f t="shared" si="20"/>
        <v>0</v>
      </c>
      <c r="AT11" s="195" t="str">
        <f t="shared" ca="1" si="21"/>
        <v/>
      </c>
      <c r="AU11" s="195" t="str">
        <f t="shared" ca="1" si="22"/>
        <v/>
      </c>
      <c r="AV11" s="195">
        <f t="shared" si="23"/>
        <v>1</v>
      </c>
      <c r="AW11" s="195">
        <f t="shared" si="24"/>
        <v>2</v>
      </c>
      <c r="AX11" s="201" t="str">
        <f>Config!O10</f>
        <v>Costa de Marfil</v>
      </c>
      <c r="AY11" s="195">
        <f t="shared" si="0"/>
        <v>0</v>
      </c>
      <c r="AZ11" s="195">
        <f t="shared" si="1"/>
        <v>0</v>
      </c>
      <c r="BA11" s="197">
        <f t="shared" si="2"/>
        <v>0</v>
      </c>
      <c r="BB11" s="195">
        <f t="shared" si="3"/>
        <v>0</v>
      </c>
      <c r="BC11" s="197">
        <f t="shared" si="4"/>
        <v>0</v>
      </c>
      <c r="BD11" s="195">
        <f t="shared" si="5"/>
        <v>0</v>
      </c>
      <c r="BE11" s="197">
        <f t="shared" si="6"/>
        <v>0</v>
      </c>
      <c r="BF11" s="195">
        <f t="shared" si="7"/>
        <v>0</v>
      </c>
      <c r="BG11" s="197">
        <f t="shared" si="8"/>
        <v>0</v>
      </c>
      <c r="BH11" s="195">
        <f t="shared" si="9"/>
        <v>0</v>
      </c>
      <c r="BI11" s="197">
        <f t="shared" si="10"/>
        <v>0</v>
      </c>
      <c r="BJ11" s="195">
        <f t="shared" si="11"/>
        <v>0</v>
      </c>
      <c r="BK11" s="197">
        <f t="shared" si="12"/>
        <v>0</v>
      </c>
      <c r="BL11" s="195">
        <f t="shared" si="13"/>
        <v>0</v>
      </c>
      <c r="BM11" s="197">
        <f t="shared" si="14"/>
        <v>0</v>
      </c>
      <c r="BN11" s="197"/>
    </row>
    <row r="12" spans="1:66" ht="12.95" customHeight="1" x14ac:dyDescent="0.25">
      <c r="A12" s="198" t="str">
        <f>'Antonio J'!B29</f>
        <v>Australia</v>
      </c>
      <c r="B12" s="198" t="str">
        <f>IF('Antonio J'!C29="","",'Antonio J'!C29)</f>
        <v/>
      </c>
      <c r="C12" s="198" t="s">
        <v>24</v>
      </c>
      <c r="D12" s="198" t="str">
        <f>IF('Antonio J'!E29="","",'Antonio J'!E29)</f>
        <v/>
      </c>
      <c r="E12" s="198" t="str">
        <f>'Antonio J'!F29</f>
        <v>Países Bajos</v>
      </c>
      <c r="F12" s="195"/>
      <c r="G12" s="195" t="str">
        <f>E10</f>
        <v>Países Bajos</v>
      </c>
      <c r="H12" s="195" t="str">
        <f>IF('Antonio J'!N28="","",'Antonio J'!N28)</f>
        <v/>
      </c>
      <c r="I12" s="195"/>
      <c r="J12" s="202" t="str">
        <v>Países Bajos</v>
      </c>
      <c r="K12" s="198">
        <v>0</v>
      </c>
      <c r="L12" s="198">
        <v>0</v>
      </c>
      <c r="M12" s="198">
        <v>0</v>
      </c>
      <c r="N12" s="198">
        <v>0</v>
      </c>
      <c r="O12" s="198">
        <v>0</v>
      </c>
      <c r="P12" s="198">
        <v>0</v>
      </c>
      <c r="Q12" s="198">
        <v>0</v>
      </c>
      <c r="R12" s="198">
        <v>0</v>
      </c>
      <c r="S12" s="203">
        <v>5000005000</v>
      </c>
      <c r="T12" s="196"/>
      <c r="U12" s="195">
        <v>57</v>
      </c>
      <c r="V12" s="195" t="str">
        <f>IF(OR(W4="",Z4=""),"OF1",IF((W4+X4)&gt;(Y4+Z4),V4,AA4))</f>
        <v>OF1</v>
      </c>
      <c r="W12" s="195" t="str">
        <f>IF('Antonio J'!Q30="","",'Antonio J'!Q30)</f>
        <v/>
      </c>
      <c r="X12" s="195" t="str">
        <f>'Antonio J'!R30</f>
        <v/>
      </c>
      <c r="Y12" s="195" t="str">
        <f>'Antonio J'!T30</f>
        <v/>
      </c>
      <c r="Z12" s="195" t="str">
        <f>IF('Antonio J'!U30="","",'Antonio J'!U30)</f>
        <v/>
      </c>
      <c r="AA12" s="195" t="str">
        <f>IF(OR(W5="",Z5=""),"OF2",IF((W5+X5)&gt;(Y5+Z5),V5,AA5))</f>
        <v>OF2</v>
      </c>
      <c r="AB12" s="195" t="str">
        <f>'Antonio J'!X30</f>
        <v>Brasil</v>
      </c>
      <c r="AC12" s="195">
        <f>IF('Antonio J'!Y30="","",'Antonio J'!Y30)</f>
        <v>3</v>
      </c>
      <c r="AD12" s="195">
        <f>IF('Antonio J'!AG30="","",'Antonio J'!AG30)</f>
        <v>0</v>
      </c>
      <c r="AE12" s="195">
        <f>IF('Antonio J'!AH30="","",'Antonio J'!AH30)</f>
        <v>0</v>
      </c>
      <c r="AF12" s="195">
        <f>IF('Antonio J'!AA30="","",'Antonio J'!AA30)</f>
        <v>2</v>
      </c>
      <c r="AG12" s="195" t="str">
        <f>'Antonio J'!AB30</f>
        <v>Italia</v>
      </c>
      <c r="AH12" s="195" t="str">
        <f t="shared" si="16"/>
        <v/>
      </c>
      <c r="AI12" s="195" t="str">
        <f t="shared" si="26"/>
        <v/>
      </c>
      <c r="AJ12" s="196" t="e">
        <f t="array" ref="AJ12">MATCH(AB12 &amp; AG12,$V$12:$V$15 &amp; $AA$12:$AA$15,0)</f>
        <v>#N/A</v>
      </c>
      <c r="AK12" s="195" t="e">
        <f t="array" ref="AK12">MATCH(AB12 &amp; AG12,$AA$12:$AA$15 &amp; $V$12:$V$15,0)</f>
        <v>#N/A</v>
      </c>
      <c r="AL12" s="195">
        <f t="shared" si="25"/>
        <v>0</v>
      </c>
      <c r="AM12" s="195">
        <f t="shared" si="17"/>
        <v>0</v>
      </c>
      <c r="AN12" s="195" t="str">
        <f ca="1">IF($AL12+$AM12=0,"",INDIRECT(ADDRESS($AL12+$AM12+ROW($U$12)-1,AN$2)))</f>
        <v/>
      </c>
      <c r="AO12" s="195" t="str">
        <f t="shared" ref="AO12:AQ15" ca="1" si="27">IF($AL12+$AM12=0,"",INDIRECT(ADDRESS($AL12+$AM12+ROW($U$12)-1,AO$2)))</f>
        <v/>
      </c>
      <c r="AP12" s="195" t="str">
        <f t="shared" ca="1" si="27"/>
        <v/>
      </c>
      <c r="AQ12" s="195" t="str">
        <f t="shared" ca="1" si="27"/>
        <v/>
      </c>
      <c r="AR12" s="195">
        <f t="shared" si="19"/>
        <v>0</v>
      </c>
      <c r="AS12" s="195">
        <f t="shared" si="20"/>
        <v>0</v>
      </c>
      <c r="AT12" s="195" t="str">
        <f t="shared" ca="1" si="21"/>
        <v/>
      </c>
      <c r="AU12" s="195" t="str">
        <f t="shared" ca="1" si="22"/>
        <v/>
      </c>
      <c r="AV12" s="195">
        <f t="shared" si="23"/>
        <v>3</v>
      </c>
      <c r="AW12" s="195">
        <f t="shared" si="24"/>
        <v>2</v>
      </c>
      <c r="AX12" s="201" t="str">
        <f>Config!O11</f>
        <v>Grecia</v>
      </c>
      <c r="AY12" s="195">
        <f t="shared" si="0"/>
        <v>0</v>
      </c>
      <c r="AZ12" s="195">
        <f t="shared" si="1"/>
        <v>0</v>
      </c>
      <c r="BA12" s="197">
        <f t="shared" si="2"/>
        <v>0</v>
      </c>
      <c r="BB12" s="195">
        <f t="shared" si="3"/>
        <v>0</v>
      </c>
      <c r="BC12" s="197">
        <f t="shared" si="4"/>
        <v>0</v>
      </c>
      <c r="BD12" s="195">
        <f t="shared" si="5"/>
        <v>0</v>
      </c>
      <c r="BE12" s="197">
        <f t="shared" si="6"/>
        <v>0</v>
      </c>
      <c r="BF12" s="195">
        <f t="shared" si="7"/>
        <v>0</v>
      </c>
      <c r="BG12" s="197">
        <f t="shared" si="8"/>
        <v>0</v>
      </c>
      <c r="BH12" s="195">
        <f t="shared" si="9"/>
        <v>0</v>
      </c>
      <c r="BI12" s="197">
        <f t="shared" si="10"/>
        <v>0</v>
      </c>
      <c r="BJ12" s="195">
        <f t="shared" si="11"/>
        <v>0</v>
      </c>
      <c r="BK12" s="197">
        <f t="shared" si="12"/>
        <v>0</v>
      </c>
      <c r="BL12" s="195">
        <f t="shared" si="13"/>
        <v>0</v>
      </c>
      <c r="BM12" s="197">
        <f t="shared" si="14"/>
        <v>0</v>
      </c>
      <c r="BN12" s="197"/>
    </row>
    <row r="13" spans="1:66" ht="12.95" customHeight="1" x14ac:dyDescent="0.25">
      <c r="A13" s="198" t="str">
        <f>'Antonio J'!B30</f>
        <v>España</v>
      </c>
      <c r="B13" s="198" t="str">
        <f>IF('Antonio J'!C30="","",'Antonio J'!C30)</f>
        <v/>
      </c>
      <c r="C13" s="198" t="s">
        <v>24</v>
      </c>
      <c r="D13" s="198" t="str">
        <f>IF('Antonio J'!E30="","",'Antonio J'!E30)</f>
        <v/>
      </c>
      <c r="E13" s="198" t="str">
        <f>'Antonio J'!F30</f>
        <v>Chile</v>
      </c>
      <c r="F13" s="195"/>
      <c r="G13" s="195" t="str">
        <f>A11</f>
        <v>Chile</v>
      </c>
      <c r="H13" s="195" t="str">
        <f>IF('Antonio J'!N29="","",'Antonio J'!N29)</f>
        <v/>
      </c>
      <c r="I13" s="195"/>
      <c r="J13" s="202" t="str">
        <v>Chile</v>
      </c>
      <c r="K13" s="198">
        <v>0</v>
      </c>
      <c r="L13" s="198">
        <v>0</v>
      </c>
      <c r="M13" s="198">
        <v>0</v>
      </c>
      <c r="N13" s="198">
        <v>0</v>
      </c>
      <c r="O13" s="198">
        <v>0</v>
      </c>
      <c r="P13" s="198">
        <v>0</v>
      </c>
      <c r="Q13" s="198">
        <v>0</v>
      </c>
      <c r="R13" s="198">
        <v>0</v>
      </c>
      <c r="S13" s="203">
        <v>5000005000</v>
      </c>
      <c r="T13" s="196"/>
      <c r="U13" s="195">
        <v>58</v>
      </c>
      <c r="V13" s="195" t="str">
        <f>IF(OR(W8="",Z8=""),"OF5",IF((W8+X8)&gt;(Y8+Z8),V8,AA8))</f>
        <v>OF5</v>
      </c>
      <c r="W13" s="195" t="str">
        <f>IF('Antonio J'!Q31="","",'Antonio J'!Q31)</f>
        <v/>
      </c>
      <c r="X13" s="195" t="str">
        <f>'Antonio J'!R31</f>
        <v/>
      </c>
      <c r="Y13" s="195" t="str">
        <f>'Antonio J'!T31</f>
        <v/>
      </c>
      <c r="Z13" s="195" t="str">
        <f>IF('Antonio J'!U31="","",'Antonio J'!U31)</f>
        <v/>
      </c>
      <c r="AA13" s="195" t="str">
        <f>IF(OR(W9="",Z9=""),"OF6",IF((W9+X9)&gt;(Y9+Z9),V9,AA9))</f>
        <v>OF6</v>
      </c>
      <c r="AB13" s="195" t="str">
        <f>'Antonio J'!X31</f>
        <v>Ecuador</v>
      </c>
      <c r="AC13" s="195">
        <f>IF('Antonio J'!Y31="","",'Antonio J'!Y31)</f>
        <v>0</v>
      </c>
      <c r="AD13" s="195">
        <f>IF('Antonio J'!AG31="","",'Antonio J'!AG31)</f>
        <v>0</v>
      </c>
      <c r="AE13" s="195">
        <f>IF('Antonio J'!AH31="","",'Antonio J'!AH31)</f>
        <v>0</v>
      </c>
      <c r="AF13" s="195">
        <f>IF('Antonio J'!AA31="","",'Antonio J'!AA31)</f>
        <v>1</v>
      </c>
      <c r="AG13" s="195" t="str">
        <f>'Antonio J'!AB31</f>
        <v>Portugal</v>
      </c>
      <c r="AH13" s="195" t="str">
        <f t="shared" si="16"/>
        <v/>
      </c>
      <c r="AI13" s="195" t="str">
        <f t="shared" si="26"/>
        <v/>
      </c>
      <c r="AJ13" s="196" t="e">
        <f t="array" ref="AJ13">MATCH(AB13 &amp; AG13,$V$12:$V$15 &amp; $AA$12:$AA$15,0)</f>
        <v>#N/A</v>
      </c>
      <c r="AK13" s="195" t="e">
        <f t="array" ref="AK13">MATCH(AB13 &amp; AG13,$AA$12:$AA$15 &amp; $V$12:$V$15,0)</f>
        <v>#N/A</v>
      </c>
      <c r="AL13" s="195">
        <f t="shared" si="25"/>
        <v>0</v>
      </c>
      <c r="AM13" s="195">
        <f t="shared" si="17"/>
        <v>0</v>
      </c>
      <c r="AN13" s="195" t="str">
        <f ca="1">IF($AL13+$AM13=0,"",INDIRECT(ADDRESS($AL13+$AM13+ROW($U$12)-1,AN$2)))</f>
        <v/>
      </c>
      <c r="AO13" s="195" t="str">
        <f t="shared" ca="1" si="27"/>
        <v/>
      </c>
      <c r="AP13" s="195" t="str">
        <f t="shared" ca="1" si="27"/>
        <v/>
      </c>
      <c r="AQ13" s="195" t="str">
        <f t="shared" ca="1" si="27"/>
        <v/>
      </c>
      <c r="AR13" s="195">
        <f t="shared" si="19"/>
        <v>0</v>
      </c>
      <c r="AS13" s="195">
        <f t="shared" si="20"/>
        <v>0</v>
      </c>
      <c r="AT13" s="195" t="str">
        <f t="shared" ca="1" si="21"/>
        <v/>
      </c>
      <c r="AU13" s="195" t="str">
        <f t="shared" ca="1" si="22"/>
        <v/>
      </c>
      <c r="AV13" s="195">
        <f t="shared" si="23"/>
        <v>0</v>
      </c>
      <c r="AW13" s="195">
        <f t="shared" si="24"/>
        <v>1</v>
      </c>
      <c r="AX13" s="201" t="str">
        <f>Config!O12</f>
        <v>Japón</v>
      </c>
      <c r="AY13" s="195">
        <f t="shared" si="0"/>
        <v>0</v>
      </c>
      <c r="AZ13" s="195">
        <f t="shared" si="1"/>
        <v>0</v>
      </c>
      <c r="BA13" s="197">
        <f t="shared" si="2"/>
        <v>0</v>
      </c>
      <c r="BB13" s="195">
        <f t="shared" si="3"/>
        <v>0</v>
      </c>
      <c r="BC13" s="197">
        <f t="shared" si="4"/>
        <v>0</v>
      </c>
      <c r="BD13" s="195">
        <f t="shared" si="5"/>
        <v>0</v>
      </c>
      <c r="BE13" s="197">
        <f t="shared" si="6"/>
        <v>0</v>
      </c>
      <c r="BF13" s="195">
        <f t="shared" si="7"/>
        <v>0</v>
      </c>
      <c r="BG13" s="197">
        <f t="shared" si="8"/>
        <v>0</v>
      </c>
      <c r="BH13" s="195">
        <f t="shared" si="9"/>
        <v>0</v>
      </c>
      <c r="BI13" s="197">
        <f t="shared" si="10"/>
        <v>0</v>
      </c>
      <c r="BJ13" s="195">
        <f t="shared" si="11"/>
        <v>0</v>
      </c>
      <c r="BK13" s="197">
        <f t="shared" si="12"/>
        <v>0</v>
      </c>
      <c r="BL13" s="195">
        <f t="shared" si="13"/>
        <v>0</v>
      </c>
      <c r="BM13" s="197">
        <f t="shared" si="14"/>
        <v>0</v>
      </c>
      <c r="BN13" s="197"/>
    </row>
    <row r="14" spans="1:66" ht="12.95" customHeight="1" x14ac:dyDescent="0.25">
      <c r="A14" s="198" t="str">
        <f>'Antonio J'!B31</f>
        <v>Australia</v>
      </c>
      <c r="B14" s="198" t="str">
        <f>IF('Antonio J'!C31="","",'Antonio J'!C31)</f>
        <v/>
      </c>
      <c r="C14" s="198" t="s">
        <v>24</v>
      </c>
      <c r="D14" s="198" t="str">
        <f>IF('Antonio J'!E31="","",'Antonio J'!E31)</f>
        <v/>
      </c>
      <c r="E14" s="198" t="str">
        <f>'Antonio J'!F31</f>
        <v>España</v>
      </c>
      <c r="F14" s="195"/>
      <c r="G14" s="195" t="str">
        <f>E11</f>
        <v>Australia</v>
      </c>
      <c r="H14" s="195" t="str">
        <f>IF('Antonio J'!N30="","",'Antonio J'!N30)</f>
        <v/>
      </c>
      <c r="I14" s="195"/>
      <c r="J14" s="202" t="str">
        <v>Australia</v>
      </c>
      <c r="K14" s="198">
        <v>0</v>
      </c>
      <c r="L14" s="198">
        <v>0</v>
      </c>
      <c r="M14" s="198">
        <v>0</v>
      </c>
      <c r="N14" s="198">
        <v>0</v>
      </c>
      <c r="O14" s="198">
        <v>0</v>
      </c>
      <c r="P14" s="198">
        <v>0</v>
      </c>
      <c r="Q14" s="198">
        <v>0</v>
      </c>
      <c r="R14" s="198">
        <v>0</v>
      </c>
      <c r="S14" s="203">
        <v>5000005000</v>
      </c>
      <c r="T14" s="196"/>
      <c r="U14" s="195">
        <v>59</v>
      </c>
      <c r="V14" s="195" t="str">
        <f>IF(OR(W6="",Z6=""),"OF3",IF((W6+X6)&gt;(Y6+Z6),V6,AA6))</f>
        <v>OF3</v>
      </c>
      <c r="W14" s="195" t="str">
        <f>IF('Antonio J'!Q32="","",'Antonio J'!Q32)</f>
        <v/>
      </c>
      <c r="X14" s="195" t="str">
        <f>'Antonio J'!R32</f>
        <v/>
      </c>
      <c r="Y14" s="195" t="str">
        <f>'Antonio J'!T32</f>
        <v/>
      </c>
      <c r="Z14" s="195" t="str">
        <f>IF('Antonio J'!U32="","",'Antonio J'!U32)</f>
        <v/>
      </c>
      <c r="AA14" s="195" t="str">
        <f>IF(OR(W7="",Z7=""),"OF4",IF((W7+X7)&gt;(Y7+Z7),V7,AA7))</f>
        <v>OF4</v>
      </c>
      <c r="AB14" s="195" t="str">
        <f>'Antonio J'!X32</f>
        <v>España</v>
      </c>
      <c r="AC14" s="195">
        <f>IF('Antonio J'!Y32="","",'Antonio J'!Y32)</f>
        <v>2</v>
      </c>
      <c r="AD14" s="195">
        <f>IF('Antonio J'!AG32="","",'Antonio J'!AG32)</f>
        <v>0</v>
      </c>
      <c r="AE14" s="195">
        <f>IF('Antonio J'!AH32="","",'Antonio J'!AH32)</f>
        <v>0</v>
      </c>
      <c r="AF14" s="195">
        <f>IF('Antonio J'!AA32="","",'Antonio J'!AA32)</f>
        <v>0</v>
      </c>
      <c r="AG14" s="195" t="str">
        <f>'Antonio J'!AB32</f>
        <v>Uruguay</v>
      </c>
      <c r="AH14" s="195" t="str">
        <f t="shared" si="16"/>
        <v/>
      </c>
      <c r="AI14" s="195" t="str">
        <f t="shared" si="26"/>
        <v/>
      </c>
      <c r="AJ14" s="196" t="e">
        <f t="array" ref="AJ14">MATCH(AB14 &amp; AG14,$V$12:$V$15 &amp; $AA$12:$AA$15,0)</f>
        <v>#N/A</v>
      </c>
      <c r="AK14" s="195" t="e">
        <f t="array" ref="AK14">MATCH(AB14 &amp; AG14,$AA$12:$AA$15 &amp; $V$12:$V$15,0)</f>
        <v>#N/A</v>
      </c>
      <c r="AL14" s="195">
        <f t="shared" si="25"/>
        <v>0</v>
      </c>
      <c r="AM14" s="195">
        <f t="shared" si="17"/>
        <v>0</v>
      </c>
      <c r="AN14" s="195" t="str">
        <f ca="1">IF($AL14+$AM14=0,"",INDIRECT(ADDRESS($AL14+$AM14+ROW($U$12)-1,AN$2)))</f>
        <v/>
      </c>
      <c r="AO14" s="195" t="str">
        <f t="shared" ca="1" si="27"/>
        <v/>
      </c>
      <c r="AP14" s="195" t="str">
        <f t="shared" ca="1" si="27"/>
        <v/>
      </c>
      <c r="AQ14" s="195" t="str">
        <f t="shared" ca="1" si="27"/>
        <v/>
      </c>
      <c r="AR14" s="195">
        <f t="shared" si="19"/>
        <v>0</v>
      </c>
      <c r="AS14" s="195">
        <f t="shared" si="20"/>
        <v>0</v>
      </c>
      <c r="AT14" s="195" t="str">
        <f t="shared" ca="1" si="21"/>
        <v/>
      </c>
      <c r="AU14" s="195" t="str">
        <f t="shared" ca="1" si="22"/>
        <v/>
      </c>
      <c r="AV14" s="195">
        <f t="shared" si="23"/>
        <v>2</v>
      </c>
      <c r="AW14" s="195">
        <f t="shared" si="24"/>
        <v>0</v>
      </c>
      <c r="AX14" s="201" t="str">
        <f>Config!O13</f>
        <v>Uruguay</v>
      </c>
      <c r="AY14" s="195">
        <f t="shared" si="0"/>
        <v>0</v>
      </c>
      <c r="AZ14" s="195">
        <f t="shared" si="1"/>
        <v>0</v>
      </c>
      <c r="BA14" s="197">
        <f t="shared" si="2"/>
        <v>0</v>
      </c>
      <c r="BB14" s="195">
        <f t="shared" si="3"/>
        <v>0</v>
      </c>
      <c r="BC14" s="197">
        <f t="shared" si="4"/>
        <v>0</v>
      </c>
      <c r="BD14" s="195">
        <f t="shared" si="5"/>
        <v>0</v>
      </c>
      <c r="BE14" s="197">
        <f t="shared" si="6"/>
        <v>0</v>
      </c>
      <c r="BF14" s="195">
        <f t="shared" si="7"/>
        <v>0</v>
      </c>
      <c r="BG14" s="197">
        <f t="shared" si="8"/>
        <v>0</v>
      </c>
      <c r="BH14" s="195">
        <f t="shared" si="9"/>
        <v>0</v>
      </c>
      <c r="BI14" s="197">
        <f t="shared" si="10"/>
        <v>0</v>
      </c>
      <c r="BJ14" s="195">
        <f t="shared" si="11"/>
        <v>0</v>
      </c>
      <c r="BK14" s="197">
        <f t="shared" si="12"/>
        <v>0</v>
      </c>
      <c r="BL14" s="195">
        <f t="shared" si="13"/>
        <v>0</v>
      </c>
      <c r="BM14" s="197">
        <f t="shared" si="14"/>
        <v>0</v>
      </c>
      <c r="BN14" s="197"/>
    </row>
    <row r="15" spans="1:66" ht="12.95" customHeight="1" x14ac:dyDescent="0.25">
      <c r="A15" s="198" t="str">
        <f>'Antonio J'!B32</f>
        <v>Países Bajos</v>
      </c>
      <c r="B15" s="198" t="str">
        <f>IF('Antonio J'!C32="","",'Antonio J'!C32)</f>
        <v/>
      </c>
      <c r="C15" s="198" t="s">
        <v>24</v>
      </c>
      <c r="D15" s="198" t="str">
        <f>IF('Antonio J'!E32="","",'Antonio J'!E32)</f>
        <v/>
      </c>
      <c r="E15" s="198" t="str">
        <f>'Antonio J'!F32</f>
        <v>Chile</v>
      </c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205"/>
      <c r="T15" s="196"/>
      <c r="U15" s="195">
        <v>60</v>
      </c>
      <c r="V15" s="195" t="str">
        <f>IF(OR(W10="",Z10=""),"OF7",IF((W10+X10)&gt;(Y10+Z10),V10,AA10))</f>
        <v>OF7</v>
      </c>
      <c r="W15" s="195" t="str">
        <f>IF('Antonio J'!Q33="","",'Antonio J'!Q33)</f>
        <v/>
      </c>
      <c r="X15" s="195" t="str">
        <f>'Antonio J'!R33</f>
        <v/>
      </c>
      <c r="Y15" s="195" t="str">
        <f>'Antonio J'!T33</f>
        <v/>
      </c>
      <c r="Z15" s="195" t="str">
        <f>IF('Antonio J'!U33="","",'Antonio J'!U33)</f>
        <v/>
      </c>
      <c r="AA15" s="195" t="str">
        <f>IF(OR(W11="",Z11=""),"OF8",IF((W11+X11)&gt;(Y11+Z11),V11,AA11))</f>
        <v>OF8</v>
      </c>
      <c r="AB15" s="195" t="str">
        <f>'Antonio J'!X33</f>
        <v>Argentina</v>
      </c>
      <c r="AC15" s="195">
        <f>IF('Antonio J'!Y33="","",'Antonio J'!Y33)</f>
        <v>2</v>
      </c>
      <c r="AD15" s="195">
        <f>IF('Antonio J'!AG33="","",'Antonio J'!AG33)</f>
        <v>0</v>
      </c>
      <c r="AE15" s="195">
        <f>IF('Antonio J'!AH33="","",'Antonio J'!AH33)</f>
        <v>0</v>
      </c>
      <c r="AF15" s="195">
        <f>IF('Antonio J'!AA33="","",'Antonio J'!AA33)</f>
        <v>1</v>
      </c>
      <c r="AG15" s="195" t="str">
        <f>'Antonio J'!AB33</f>
        <v>Alemania</v>
      </c>
      <c r="AH15" s="195" t="str">
        <f t="shared" si="16"/>
        <v/>
      </c>
      <c r="AI15" s="195" t="str">
        <f t="shared" si="26"/>
        <v/>
      </c>
      <c r="AJ15" s="196" t="e">
        <f t="array" ref="AJ15">MATCH(AB15 &amp; AG15,$V$12:$V$15 &amp; $AA$12:$AA$15,0)</f>
        <v>#N/A</v>
      </c>
      <c r="AK15" s="195" t="e">
        <f t="array" ref="AK15">MATCH(AB15 &amp; AG15,$AA$12:$AA$15 &amp; $V$12:$V$15,0)</f>
        <v>#N/A</v>
      </c>
      <c r="AL15" s="195">
        <f t="shared" si="25"/>
        <v>0</v>
      </c>
      <c r="AM15" s="195">
        <f t="shared" si="17"/>
        <v>0</v>
      </c>
      <c r="AN15" s="195" t="str">
        <f ca="1">IF($AL15+$AM15=0,"",INDIRECT(ADDRESS($AL15+$AM15+ROW($U$12)-1,AN$2)))</f>
        <v/>
      </c>
      <c r="AO15" s="195" t="str">
        <f t="shared" ca="1" si="27"/>
        <v/>
      </c>
      <c r="AP15" s="195" t="str">
        <f t="shared" ca="1" si="27"/>
        <v/>
      </c>
      <c r="AQ15" s="195" t="str">
        <f t="shared" ca="1" si="27"/>
        <v/>
      </c>
      <c r="AR15" s="195">
        <f t="shared" si="19"/>
        <v>0</v>
      </c>
      <c r="AS15" s="195">
        <f t="shared" si="20"/>
        <v>0</v>
      </c>
      <c r="AT15" s="195" t="str">
        <f t="shared" ca="1" si="21"/>
        <v/>
      </c>
      <c r="AU15" s="195" t="str">
        <f t="shared" ca="1" si="22"/>
        <v/>
      </c>
      <c r="AV15" s="195">
        <f t="shared" si="23"/>
        <v>2</v>
      </c>
      <c r="AW15" s="195">
        <f t="shared" si="24"/>
        <v>1</v>
      </c>
      <c r="AX15" s="201" t="str">
        <f>Config!O14</f>
        <v>Inglaterra</v>
      </c>
      <c r="AY15" s="195">
        <f t="shared" si="0"/>
        <v>0</v>
      </c>
      <c r="AZ15" s="195">
        <f t="shared" si="1"/>
        <v>0</v>
      </c>
      <c r="BA15" s="197">
        <f t="shared" si="2"/>
        <v>0</v>
      </c>
      <c r="BB15" s="195">
        <f t="shared" si="3"/>
        <v>0</v>
      </c>
      <c r="BC15" s="197">
        <f t="shared" si="4"/>
        <v>0</v>
      </c>
      <c r="BD15" s="195">
        <f t="shared" si="5"/>
        <v>0</v>
      </c>
      <c r="BE15" s="197">
        <f t="shared" si="6"/>
        <v>0</v>
      </c>
      <c r="BF15" s="195">
        <f t="shared" si="7"/>
        <v>0</v>
      </c>
      <c r="BG15" s="197">
        <f t="shared" si="8"/>
        <v>0</v>
      </c>
      <c r="BH15" s="195">
        <f t="shared" si="9"/>
        <v>0</v>
      </c>
      <c r="BI15" s="197">
        <f t="shared" si="10"/>
        <v>0</v>
      </c>
      <c r="BJ15" s="195">
        <f t="shared" si="11"/>
        <v>0</v>
      </c>
      <c r="BK15" s="197">
        <f t="shared" si="12"/>
        <v>0</v>
      </c>
      <c r="BL15" s="195">
        <f t="shared" si="13"/>
        <v>0</v>
      </c>
      <c r="BM15" s="197">
        <f t="shared" si="14"/>
        <v>0</v>
      </c>
      <c r="BN15" s="197"/>
    </row>
    <row r="16" spans="1:66" ht="12.95" customHeight="1" x14ac:dyDescent="0.25">
      <c r="A16" s="196"/>
      <c r="B16" s="196"/>
      <c r="C16" s="196"/>
      <c r="D16" s="196"/>
      <c r="E16" s="196"/>
      <c r="F16" s="196"/>
      <c r="G16" s="196"/>
      <c r="H16" s="196"/>
      <c r="I16" s="196"/>
      <c r="J16" s="196"/>
      <c r="K16" s="196"/>
      <c r="L16" s="196"/>
      <c r="M16" s="196"/>
      <c r="N16" s="196"/>
      <c r="O16" s="196"/>
      <c r="P16" s="196"/>
      <c r="Q16" s="196"/>
      <c r="R16" s="196"/>
      <c r="S16" s="196"/>
      <c r="T16" s="196"/>
      <c r="U16" s="204">
        <v>61</v>
      </c>
      <c r="V16" s="204" t="str">
        <f>IF(OR(W12="",Z12=""),"CF1",IF((W12+X12)&gt;(Y12+Z12),V12,AA12))</f>
        <v>CF1</v>
      </c>
      <c r="W16" s="204" t="str">
        <f>IF('Antonio J'!Q40="","",'Antonio J'!Q40)</f>
        <v/>
      </c>
      <c r="X16" s="204" t="str">
        <f>'Antonio J'!R40</f>
        <v/>
      </c>
      <c r="Y16" s="204" t="str">
        <f>'Antonio J'!T40</f>
        <v/>
      </c>
      <c r="Z16" s="204" t="str">
        <f>IF('Antonio J'!U40="","",'Antonio J'!U40)</f>
        <v/>
      </c>
      <c r="AA16" s="204" t="str">
        <f>IF(OR(W13="",Z13=""),"CF2",IF((W13+X13)&gt;(Y13+Z13),V13,AA13))</f>
        <v>CF2</v>
      </c>
      <c r="AB16" s="204" t="str">
        <f>'Antonio J'!X40</f>
        <v>Brasil</v>
      </c>
      <c r="AC16" s="204">
        <f>IF('Antonio J'!Y40="","",'Antonio J'!Y40)</f>
        <v>1</v>
      </c>
      <c r="AD16" s="204">
        <f>IF('Antonio J'!AG40="","",'Antonio J'!AG40)</f>
        <v>0</v>
      </c>
      <c r="AE16" s="204">
        <f>IF('Antonio J'!AH40="","",'Antonio J'!AH40)</f>
        <v>0</v>
      </c>
      <c r="AF16" s="204">
        <f>IF('Antonio J'!AA40="","",'Antonio J'!AA40)</f>
        <v>0</v>
      </c>
      <c r="AG16" s="204" t="str">
        <f>'Antonio J'!AB40</f>
        <v>Portugal</v>
      </c>
      <c r="AH16" s="204" t="str">
        <f t="shared" si="16"/>
        <v/>
      </c>
      <c r="AI16" s="204" t="str">
        <f t="shared" si="26"/>
        <v/>
      </c>
      <c r="AJ16" s="196" t="e">
        <f t="array" ref="AJ16">MATCH(AB16 &amp; AG16,$V$16:$V$17 &amp; $AA$16:$AA$17,0)</f>
        <v>#N/A</v>
      </c>
      <c r="AK16" s="195" t="e">
        <f t="array" ref="AK16">MATCH(AB16 &amp; AG16,$AA$16:$AA$17 &amp; $V$16:$V$17,0)</f>
        <v>#N/A</v>
      </c>
      <c r="AL16" s="195">
        <f t="shared" si="25"/>
        <v>0</v>
      </c>
      <c r="AM16" s="195">
        <f t="shared" si="17"/>
        <v>0</v>
      </c>
      <c r="AN16" s="195" t="str">
        <f ca="1">IF($AL16+$AM16=0,"",INDIRECT(ADDRESS($AL16+$AM16+ROW($U$16)-1,AN$2)))</f>
        <v/>
      </c>
      <c r="AO16" s="195" t="str">
        <f t="shared" ref="AO16:AQ17" ca="1" si="28">IF($AL16+$AM16=0,"",INDIRECT(ADDRESS($AL16+$AM16+ROW($U$16)-1,AO$2)))</f>
        <v/>
      </c>
      <c r="AP16" s="195" t="str">
        <f t="shared" ca="1" si="28"/>
        <v/>
      </c>
      <c r="AQ16" s="195" t="str">
        <f t="shared" ca="1" si="28"/>
        <v/>
      </c>
      <c r="AR16" s="195">
        <f t="shared" si="19"/>
        <v>0</v>
      </c>
      <c r="AS16" s="195">
        <f t="shared" si="20"/>
        <v>0</v>
      </c>
      <c r="AT16" s="195" t="str">
        <f t="shared" ca="1" si="21"/>
        <v/>
      </c>
      <c r="AU16" s="195" t="str">
        <f t="shared" ca="1" si="22"/>
        <v/>
      </c>
      <c r="AV16" s="195">
        <f t="shared" si="23"/>
        <v>1</v>
      </c>
      <c r="AW16" s="195">
        <f t="shared" si="24"/>
        <v>0</v>
      </c>
      <c r="AX16" s="201" t="str">
        <f>Config!O15</f>
        <v>Costa Rica</v>
      </c>
      <c r="AY16" s="195">
        <f t="shared" si="0"/>
        <v>0</v>
      </c>
      <c r="AZ16" s="195">
        <f t="shared" si="1"/>
        <v>0</v>
      </c>
      <c r="BA16" s="197">
        <f t="shared" si="2"/>
        <v>0</v>
      </c>
      <c r="BB16" s="195">
        <f t="shared" si="3"/>
        <v>0</v>
      </c>
      <c r="BC16" s="197">
        <f t="shared" si="4"/>
        <v>0</v>
      </c>
      <c r="BD16" s="195">
        <f t="shared" si="5"/>
        <v>0</v>
      </c>
      <c r="BE16" s="197">
        <f t="shared" si="6"/>
        <v>0</v>
      </c>
      <c r="BF16" s="195">
        <f t="shared" si="7"/>
        <v>0</v>
      </c>
      <c r="BG16" s="197">
        <f t="shared" si="8"/>
        <v>0</v>
      </c>
      <c r="BH16" s="195">
        <f t="shared" si="9"/>
        <v>0</v>
      </c>
      <c r="BI16" s="197">
        <f t="shared" si="10"/>
        <v>0</v>
      </c>
      <c r="BJ16" s="195">
        <f t="shared" si="11"/>
        <v>0</v>
      </c>
      <c r="BK16" s="197">
        <f t="shared" si="12"/>
        <v>0</v>
      </c>
      <c r="BL16" s="195">
        <f t="shared" si="13"/>
        <v>0</v>
      </c>
      <c r="BM16" s="197">
        <f t="shared" si="14"/>
        <v>0</v>
      </c>
      <c r="BN16" s="197"/>
    </row>
    <row r="17" spans="1:66" ht="12.95" customHeight="1" x14ac:dyDescent="0.25">
      <c r="A17" s="194" t="s">
        <v>5</v>
      </c>
      <c r="B17" s="194"/>
      <c r="C17" s="194"/>
      <c r="D17" s="194"/>
      <c r="E17" s="194"/>
      <c r="F17" s="195"/>
      <c r="G17" s="195"/>
      <c r="H17" s="195"/>
      <c r="I17" s="195"/>
      <c r="J17" s="194" t="s">
        <v>30</v>
      </c>
      <c r="K17" s="194"/>
      <c r="L17" s="194"/>
      <c r="M17" s="194"/>
      <c r="N17" s="194"/>
      <c r="O17" s="194"/>
      <c r="P17" s="194"/>
      <c r="Q17" s="194"/>
      <c r="R17" s="194"/>
      <c r="S17" s="194"/>
      <c r="T17" s="196"/>
      <c r="U17" s="204">
        <v>62</v>
      </c>
      <c r="V17" s="204" t="str">
        <f>IF(OR(W14="",Z14=""),"CF3",IF((W14+X14)&gt;(Y14+Z14),V14,AA14))</f>
        <v>CF3</v>
      </c>
      <c r="W17" s="204" t="str">
        <f>IF('Antonio J'!Q41="","",'Antonio J'!Q41)</f>
        <v/>
      </c>
      <c r="X17" s="204" t="str">
        <f>'Antonio J'!R41</f>
        <v/>
      </c>
      <c r="Y17" s="204" t="str">
        <f>'Antonio J'!T41</f>
        <v/>
      </c>
      <c r="Z17" s="204" t="str">
        <f>IF('Antonio J'!U41="","",'Antonio J'!U41)</f>
        <v/>
      </c>
      <c r="AA17" s="204" t="str">
        <f>IF(OR(W15="",Z15=""),"CF4",IF((W15+X15)&gt;(Y15+Z15),V15,AA15))</f>
        <v>CF4</v>
      </c>
      <c r="AB17" s="204" t="str">
        <f>'Antonio J'!X41</f>
        <v>España</v>
      </c>
      <c r="AC17" s="204">
        <f>IF('Antonio J'!Y41="","",'Antonio J'!Y41)</f>
        <v>1</v>
      </c>
      <c r="AD17" s="204">
        <f>IF('Antonio J'!AG41="","",'Antonio J'!AG41)</f>
        <v>0</v>
      </c>
      <c r="AE17" s="204">
        <f>IF('Antonio J'!AH41="","",'Antonio J'!AH41)</f>
        <v>0</v>
      </c>
      <c r="AF17" s="204">
        <f>IF('Antonio J'!AA41="","",'Antonio J'!AA41)</f>
        <v>2</v>
      </c>
      <c r="AG17" s="204" t="str">
        <f>'Antonio J'!AB41</f>
        <v>Argentina</v>
      </c>
      <c r="AH17" s="204" t="str">
        <f t="shared" si="16"/>
        <v/>
      </c>
      <c r="AI17" s="204" t="str">
        <f t="shared" si="26"/>
        <v/>
      </c>
      <c r="AJ17" s="196" t="e">
        <f t="array" ref="AJ17">MATCH(AB17 &amp; AG17,$V$16:$V$17 &amp; $AA$16:$AA$17,0)</f>
        <v>#N/A</v>
      </c>
      <c r="AK17" s="195" t="e">
        <f t="array" ref="AK17">MATCH(AB17 &amp; AG17,$AA$16:$AA$17 &amp; $V$16:$V$17,0)</f>
        <v>#N/A</v>
      </c>
      <c r="AL17" s="195">
        <f t="shared" si="25"/>
        <v>0</v>
      </c>
      <c r="AM17" s="195">
        <f t="shared" si="17"/>
        <v>0</v>
      </c>
      <c r="AN17" s="195" t="str">
        <f ca="1">IF($AL17+$AM17=0,"",INDIRECT(ADDRESS($AL17+$AM17+ROW($U$16)-1,AN$2)))</f>
        <v/>
      </c>
      <c r="AO17" s="195" t="str">
        <f t="shared" ca="1" si="28"/>
        <v/>
      </c>
      <c r="AP17" s="195" t="str">
        <f t="shared" ca="1" si="28"/>
        <v/>
      </c>
      <c r="AQ17" s="195" t="str">
        <f t="shared" ca="1" si="28"/>
        <v/>
      </c>
      <c r="AR17" s="195">
        <f t="shared" si="19"/>
        <v>0</v>
      </c>
      <c r="AS17" s="195">
        <f t="shared" si="20"/>
        <v>0</v>
      </c>
      <c r="AT17" s="195" t="str">
        <f t="shared" ca="1" si="21"/>
        <v/>
      </c>
      <c r="AU17" s="195" t="str">
        <f t="shared" ca="1" si="22"/>
        <v/>
      </c>
      <c r="AV17" s="195">
        <f t="shared" si="23"/>
        <v>1</v>
      </c>
      <c r="AW17" s="195">
        <f t="shared" si="24"/>
        <v>2</v>
      </c>
      <c r="AX17" s="201" t="str">
        <f>Config!O16</f>
        <v>Italia</v>
      </c>
      <c r="AY17" s="195">
        <f t="shared" si="0"/>
        <v>0</v>
      </c>
      <c r="AZ17" s="195">
        <f t="shared" si="1"/>
        <v>0</v>
      </c>
      <c r="BA17" s="197">
        <f t="shared" si="2"/>
        <v>0</v>
      </c>
      <c r="BB17" s="195">
        <f t="shared" si="3"/>
        <v>0</v>
      </c>
      <c r="BC17" s="197">
        <f t="shared" si="4"/>
        <v>0</v>
      </c>
      <c r="BD17" s="195">
        <f t="shared" si="5"/>
        <v>0</v>
      </c>
      <c r="BE17" s="197">
        <f t="shared" si="6"/>
        <v>0</v>
      </c>
      <c r="BF17" s="195">
        <f t="shared" si="7"/>
        <v>0</v>
      </c>
      <c r="BG17" s="197">
        <f t="shared" si="8"/>
        <v>0</v>
      </c>
      <c r="BH17" s="195">
        <f t="shared" si="9"/>
        <v>0</v>
      </c>
      <c r="BI17" s="197">
        <f t="shared" si="10"/>
        <v>0</v>
      </c>
      <c r="BJ17" s="195">
        <f t="shared" si="11"/>
        <v>0</v>
      </c>
      <c r="BK17" s="197">
        <f t="shared" si="12"/>
        <v>0</v>
      </c>
      <c r="BL17" s="195">
        <f t="shared" si="13"/>
        <v>0</v>
      </c>
      <c r="BM17" s="197">
        <f t="shared" si="14"/>
        <v>0</v>
      </c>
      <c r="BN17" s="197"/>
    </row>
    <row r="18" spans="1:66" ht="12.95" customHeight="1" x14ac:dyDescent="0.25">
      <c r="A18" s="198" t="str">
        <f>'Antonio J'!B38</f>
        <v>Colombia</v>
      </c>
      <c r="B18" s="198" t="str">
        <f>IF('Antonio J'!C38="","",'Antonio J'!C38)</f>
        <v/>
      </c>
      <c r="C18" s="198" t="s">
        <v>24</v>
      </c>
      <c r="D18" s="198" t="str">
        <f>IF('Antonio J'!E38="","",'Antonio J'!E38)</f>
        <v/>
      </c>
      <c r="E18" s="198" t="str">
        <f>'Antonio J'!F38</f>
        <v>Grecia</v>
      </c>
      <c r="F18" s="195"/>
      <c r="G18" s="194" t="s">
        <v>476</v>
      </c>
      <c r="H18" s="194"/>
      <c r="I18" s="195"/>
      <c r="J18" s="195" t="s">
        <v>464</v>
      </c>
      <c r="K18" s="199" t="s">
        <v>31</v>
      </c>
      <c r="L18" s="199" t="s">
        <v>32</v>
      </c>
      <c r="M18" s="199" t="s">
        <v>33</v>
      </c>
      <c r="N18" s="199" t="s">
        <v>34</v>
      </c>
      <c r="O18" s="199" t="s">
        <v>35</v>
      </c>
      <c r="P18" s="199" t="s">
        <v>36</v>
      </c>
      <c r="Q18" s="199" t="s">
        <v>37</v>
      </c>
      <c r="R18" s="199" t="s">
        <v>38</v>
      </c>
      <c r="S18" s="200" t="s">
        <v>477</v>
      </c>
      <c r="T18" s="196"/>
      <c r="U18" s="195">
        <v>63</v>
      </c>
      <c r="V18" s="195" t="str">
        <f>IF(OR(W16="",Z16=""),"L-SF1",IF((W16+X16)&gt;(Y16+Z16),AA16,V16))</f>
        <v>L-SF1</v>
      </c>
      <c r="W18" s="195" t="str">
        <f>IF('Antonio J'!Q48="","",'Antonio J'!Q48)</f>
        <v/>
      </c>
      <c r="X18" s="195" t="str">
        <f>'Antonio J'!R48</f>
        <v/>
      </c>
      <c r="Y18" s="195" t="str">
        <f>'Antonio J'!T48</f>
        <v/>
      </c>
      <c r="Z18" s="195" t="str">
        <f>IF('Antonio J'!U48="","",'Antonio J'!U48)</f>
        <v/>
      </c>
      <c r="AA18" s="195" t="str">
        <f>IF(OR(W17="",Z17=""),"L-SF2",IF((W17+X17)&gt;(Y17+Z17),AA17,V17))</f>
        <v>L-SF2</v>
      </c>
      <c r="AB18" s="195" t="str">
        <f>'Antonio J'!X48</f>
        <v>Portugal</v>
      </c>
      <c r="AC18" s="195">
        <f>IF('Antonio J'!Y48="","",'Antonio J'!Y48)</f>
        <v>1</v>
      </c>
      <c r="AD18" s="195">
        <f>IF('Antonio J'!AG48="","",'Antonio J'!AG48)</f>
        <v>0</v>
      </c>
      <c r="AE18" s="195">
        <f>IF('Antonio J'!AH48="","",'Antonio J'!AH48)</f>
        <v>0</v>
      </c>
      <c r="AF18" s="195">
        <f>IF('Antonio J'!AA48="","",'Antonio J'!AA48)</f>
        <v>2</v>
      </c>
      <c r="AG18" s="195" t="str">
        <f>'Antonio J'!AB48</f>
        <v>España</v>
      </c>
      <c r="AH18" s="195" t="str">
        <f t="shared" si="16"/>
        <v/>
      </c>
      <c r="AI18" s="195" t="str">
        <f t="shared" si="26"/>
        <v/>
      </c>
      <c r="AJ18" s="195">
        <f>IF(AB18 &amp; AG18=$V$18 &amp; $AA$18,1,0)</f>
        <v>0</v>
      </c>
      <c r="AK18" s="195">
        <f>IF(AB18 &amp; AG18=$AA$18 &amp; $V$18,1,0)</f>
        <v>0</v>
      </c>
      <c r="AL18" s="195">
        <f>IF(ISERROR(AJ18),0,IF(OR(W18="",Z18=""),0,AJ18))</f>
        <v>0</v>
      </c>
      <c r="AM18" s="195">
        <f>IF(ISERROR(AK18),0,IF(OR(W18="",Z18=""),0,AK18))</f>
        <v>0</v>
      </c>
      <c r="AN18" s="195" t="str">
        <f ca="1">IF($AL18+$AM18=0,"",INDIRECT(ADDRESS($AL18+$AM18+ROW($U$18)-1,AN$2)))</f>
        <v/>
      </c>
      <c r="AO18" s="195" t="str">
        <f ca="1">IF($AL18+$AM18=0,"",INDIRECT(ADDRESS($AL18+$AM18+ROW($U$18)-1,AO$2)))</f>
        <v/>
      </c>
      <c r="AP18" s="195" t="str">
        <f ca="1">IF($AL18+$AM18=0,"",INDIRECT(ADDRESS($AL18+$AM18+ROW($U$18)-1,AP$2)))</f>
        <v/>
      </c>
      <c r="AQ18" s="195" t="str">
        <f ca="1">IF($AL18+$AM18=0,"",INDIRECT(ADDRESS($AL18+$AM18+ROW($U$18)-1,AQ$2)))</f>
        <v/>
      </c>
      <c r="AR18" s="195">
        <f t="shared" si="19"/>
        <v>0</v>
      </c>
      <c r="AS18" s="195">
        <f t="shared" si="20"/>
        <v>0</v>
      </c>
      <c r="AT18" s="195" t="str">
        <f t="shared" ca="1" si="21"/>
        <v/>
      </c>
      <c r="AU18" s="195" t="str">
        <f t="shared" ca="1" si="22"/>
        <v/>
      </c>
      <c r="AV18" s="195">
        <f t="shared" si="23"/>
        <v>1</v>
      </c>
      <c r="AW18" s="195">
        <f t="shared" si="24"/>
        <v>2</v>
      </c>
      <c r="AX18" s="201" t="str">
        <f>Config!O17</f>
        <v>Suiza</v>
      </c>
      <c r="AY18" s="195">
        <f t="shared" si="0"/>
        <v>0</v>
      </c>
      <c r="AZ18" s="195">
        <f t="shared" si="1"/>
        <v>0</v>
      </c>
      <c r="BA18" s="197">
        <f t="shared" si="2"/>
        <v>0</v>
      </c>
      <c r="BB18" s="195">
        <f t="shared" si="3"/>
        <v>0</v>
      </c>
      <c r="BC18" s="197">
        <f t="shared" si="4"/>
        <v>0</v>
      </c>
      <c r="BD18" s="195">
        <f t="shared" si="5"/>
        <v>0</v>
      </c>
      <c r="BE18" s="197">
        <f t="shared" si="6"/>
        <v>0</v>
      </c>
      <c r="BF18" s="195">
        <f t="shared" si="7"/>
        <v>0</v>
      </c>
      <c r="BG18" s="197">
        <f t="shared" si="8"/>
        <v>0</v>
      </c>
      <c r="BH18" s="195">
        <f t="shared" si="9"/>
        <v>0</v>
      </c>
      <c r="BI18" s="197">
        <f t="shared" si="10"/>
        <v>0</v>
      </c>
      <c r="BJ18" s="195">
        <f t="shared" si="11"/>
        <v>0</v>
      </c>
      <c r="BK18" s="197">
        <f t="shared" si="12"/>
        <v>0</v>
      </c>
      <c r="BL18" s="195">
        <f t="shared" si="13"/>
        <v>0</v>
      </c>
      <c r="BM18" s="197">
        <f t="shared" si="14"/>
        <v>0</v>
      </c>
      <c r="BN18" s="197"/>
    </row>
    <row r="19" spans="1:66" ht="12.95" customHeight="1" x14ac:dyDescent="0.25">
      <c r="A19" s="198" t="str">
        <f>'Antonio J'!B39</f>
        <v>Costa de Marfil</v>
      </c>
      <c r="B19" s="198" t="str">
        <f>IF('Antonio J'!C39="","",'Antonio J'!C39)</f>
        <v/>
      </c>
      <c r="C19" s="198" t="s">
        <v>24</v>
      </c>
      <c r="D19" s="198" t="str">
        <f>IF('Antonio J'!E39="","",'Antonio J'!E39)</f>
        <v/>
      </c>
      <c r="E19" s="198" t="str">
        <f>'Antonio J'!F39</f>
        <v>Japón</v>
      </c>
      <c r="F19" s="195"/>
      <c r="G19" s="195" t="str">
        <f>A18</f>
        <v>Colombia</v>
      </c>
      <c r="H19" s="195" t="str">
        <f>IF('Antonio J'!N38="","",'Antonio J'!N38)</f>
        <v/>
      </c>
      <c r="I19" s="195"/>
      <c r="J19" s="202" t="str">
        <f t="array" ref="J19:S22">Obtiene_Datos(A18:E23,G19:H22,A17)</f>
        <v>Colombia</v>
      </c>
      <c r="K19" s="198">
        <v>0</v>
      </c>
      <c r="L19" s="198">
        <v>0</v>
      </c>
      <c r="M19" s="198">
        <v>0</v>
      </c>
      <c r="N19" s="198">
        <v>0</v>
      </c>
      <c r="O19" s="198">
        <v>0</v>
      </c>
      <c r="P19" s="198">
        <v>0</v>
      </c>
      <c r="Q19" s="198">
        <v>0</v>
      </c>
      <c r="R19" s="198">
        <v>0</v>
      </c>
      <c r="S19" s="203">
        <v>5000005000</v>
      </c>
      <c r="T19" s="196"/>
      <c r="U19" s="195">
        <v>64</v>
      </c>
      <c r="V19" s="195" t="str">
        <f>IF(OR(W16="",Z16=""),"W-SF1",IF((W16+X16)&gt;(Y16+Z16),V16,AA16))</f>
        <v>W-SF1</v>
      </c>
      <c r="W19" s="195" t="str">
        <f>IF('Antonio J'!Q55="","",'Antonio J'!Q55)</f>
        <v/>
      </c>
      <c r="X19" s="195" t="str">
        <f>'Antonio J'!R55</f>
        <v/>
      </c>
      <c r="Y19" s="195" t="str">
        <f>'Antonio J'!T55</f>
        <v/>
      </c>
      <c r="Z19" s="195" t="str">
        <f>IF('Antonio J'!U55="","",'Antonio J'!U55)</f>
        <v/>
      </c>
      <c r="AA19" s="195" t="str">
        <f>IF(OR(W17="",Z17=""),"W-SF2",IF((W17+X17)&gt;(Y17+Z17),V17,AA17))</f>
        <v>W-SF2</v>
      </c>
      <c r="AB19" s="195" t="str">
        <f>'Antonio J'!X55</f>
        <v>Brasil</v>
      </c>
      <c r="AC19" s="195">
        <f>IF('Antonio J'!Y55="","",'Antonio J'!Y55)</f>
        <v>2</v>
      </c>
      <c r="AD19" s="195">
        <f>IF('Antonio J'!AG55="","",'Antonio J'!AG55)</f>
        <v>0</v>
      </c>
      <c r="AE19" s="195">
        <f>IF('Antonio J'!AH55="","",'Antonio J'!AH55)</f>
        <v>0</v>
      </c>
      <c r="AF19" s="195">
        <f>IF('Antonio J'!AA55="","",'Antonio J'!AA55)</f>
        <v>3</v>
      </c>
      <c r="AG19" s="195" t="str">
        <f>'Antonio J'!AB55</f>
        <v>Argentina</v>
      </c>
      <c r="AH19" s="195" t="str">
        <f t="shared" si="16"/>
        <v/>
      </c>
      <c r="AI19" s="195" t="str">
        <f t="shared" si="26"/>
        <v/>
      </c>
      <c r="AJ19" s="195">
        <f>IF(AB19 &amp; AG19=$V$19 &amp; $AA$19,1,0)</f>
        <v>0</v>
      </c>
      <c r="AK19" s="195">
        <f>IF(AB19 &amp; AG19=$AA$19 &amp; $V$19,1,0)</f>
        <v>0</v>
      </c>
      <c r="AL19" s="195">
        <f>IF(ISERROR(AJ19),0,IF(OR(W19="",Z19=""),0,AJ19))</f>
        <v>0</v>
      </c>
      <c r="AM19" s="195">
        <f>IF(ISERROR(AK19),0,IF(OR(W19="",Z19=""),0,AK19))</f>
        <v>0</v>
      </c>
      <c r="AN19" s="195" t="str">
        <f ca="1">IF($AL19+$AM19=0,"",INDIRECT(ADDRESS($AL19+$AM19+ROW($U$19)-1,AN$2)))</f>
        <v/>
      </c>
      <c r="AO19" s="195" t="str">
        <f ca="1">IF($AL19+$AM19=0,"",INDIRECT(ADDRESS($AL19+$AM19+ROW($U$19)-1,AO$2)))</f>
        <v/>
      </c>
      <c r="AP19" s="195" t="str">
        <f ca="1">IF($AL19+$AM19=0,"",INDIRECT(ADDRESS($AL19+$AM19+ROW($U$19)-1,AP$2)))</f>
        <v/>
      </c>
      <c r="AQ19" s="195" t="str">
        <f ca="1">IF($AL19+$AM19=0,"",INDIRECT(ADDRESS($AL19+$AM19+ROW($U$19)-1,AQ$2)))</f>
        <v/>
      </c>
      <c r="AR19" s="195">
        <f t="shared" si="19"/>
        <v>0</v>
      </c>
      <c r="AS19" s="195">
        <f t="shared" si="20"/>
        <v>0</v>
      </c>
      <c r="AT19" s="195" t="str">
        <f t="shared" ca="1" si="21"/>
        <v/>
      </c>
      <c r="AU19" s="195" t="str">
        <f t="shared" ca="1" si="22"/>
        <v/>
      </c>
      <c r="AV19" s="195">
        <f t="shared" si="23"/>
        <v>2</v>
      </c>
      <c r="AW19" s="195">
        <f t="shared" si="24"/>
        <v>3</v>
      </c>
      <c r="AX19" s="201" t="str">
        <f>Config!O18</f>
        <v>Ecuador</v>
      </c>
      <c r="AY19" s="195">
        <f t="shared" si="0"/>
        <v>0</v>
      </c>
      <c r="AZ19" s="195">
        <f t="shared" si="1"/>
        <v>0</v>
      </c>
      <c r="BA19" s="197">
        <f t="shared" si="2"/>
        <v>0</v>
      </c>
      <c r="BB19" s="195">
        <f t="shared" si="3"/>
        <v>0</v>
      </c>
      <c r="BC19" s="197">
        <f t="shared" si="4"/>
        <v>0</v>
      </c>
      <c r="BD19" s="195">
        <f t="shared" si="5"/>
        <v>0</v>
      </c>
      <c r="BE19" s="197">
        <f t="shared" si="6"/>
        <v>0</v>
      </c>
      <c r="BF19" s="195">
        <f t="shared" si="7"/>
        <v>0</v>
      </c>
      <c r="BG19" s="197">
        <f t="shared" si="8"/>
        <v>0</v>
      </c>
      <c r="BH19" s="195">
        <f t="shared" si="9"/>
        <v>0</v>
      </c>
      <c r="BI19" s="197">
        <f t="shared" si="10"/>
        <v>0</v>
      </c>
      <c r="BJ19" s="195">
        <f t="shared" si="11"/>
        <v>0</v>
      </c>
      <c r="BK19" s="197">
        <f t="shared" si="12"/>
        <v>0</v>
      </c>
      <c r="BL19" s="195">
        <f t="shared" si="13"/>
        <v>0</v>
      </c>
      <c r="BM19" s="197">
        <f t="shared" si="14"/>
        <v>0</v>
      </c>
      <c r="BN19" s="197"/>
    </row>
    <row r="20" spans="1:66" ht="12.95" customHeight="1" x14ac:dyDescent="0.25">
      <c r="A20" s="198" t="str">
        <f>'Antonio J'!B40</f>
        <v>Colombia</v>
      </c>
      <c r="B20" s="198" t="str">
        <f>IF('Antonio J'!C40="","",'Antonio J'!C40)</f>
        <v/>
      </c>
      <c r="C20" s="198" t="s">
        <v>24</v>
      </c>
      <c r="D20" s="198" t="str">
        <f>IF('Antonio J'!E40="","",'Antonio J'!E40)</f>
        <v/>
      </c>
      <c r="E20" s="198" t="str">
        <f>'Antonio J'!F40</f>
        <v>Costa de Marfil</v>
      </c>
      <c r="F20" s="195"/>
      <c r="G20" s="195" t="str">
        <f>E18</f>
        <v>Grecia</v>
      </c>
      <c r="H20" s="195" t="str">
        <f>IF('Antonio J'!N39="","",'Antonio J'!N39)</f>
        <v/>
      </c>
      <c r="I20" s="195"/>
      <c r="J20" s="202" t="str">
        <v>Grecia</v>
      </c>
      <c r="K20" s="198">
        <v>0</v>
      </c>
      <c r="L20" s="198">
        <v>0</v>
      </c>
      <c r="M20" s="198">
        <v>0</v>
      </c>
      <c r="N20" s="198">
        <v>0</v>
      </c>
      <c r="O20" s="198">
        <v>0</v>
      </c>
      <c r="P20" s="198">
        <v>0</v>
      </c>
      <c r="Q20" s="198">
        <v>0</v>
      </c>
      <c r="R20" s="198">
        <v>0</v>
      </c>
      <c r="S20" s="203">
        <v>5000005000</v>
      </c>
      <c r="T20" s="196"/>
      <c r="U20" s="195"/>
      <c r="V20" s="195"/>
      <c r="W20" s="195"/>
      <c r="X20" s="195"/>
      <c r="Y20" s="195"/>
      <c r="Z20" s="195"/>
      <c r="AA20" s="195"/>
      <c r="AB20" s="195"/>
      <c r="AC20" s="195"/>
      <c r="AD20" s="195"/>
      <c r="AE20" s="195"/>
      <c r="AF20" s="195"/>
      <c r="AG20" s="195"/>
      <c r="AH20" s="195"/>
      <c r="AI20" s="195"/>
      <c r="AJ20" s="196"/>
      <c r="AK20" s="196"/>
      <c r="AL20" s="196"/>
      <c r="AM20" s="196"/>
      <c r="AN20" s="196"/>
      <c r="AO20" s="196"/>
      <c r="AP20" s="196"/>
      <c r="AQ20" s="196"/>
      <c r="AR20" s="196"/>
      <c r="AS20" s="196"/>
      <c r="AT20" s="195"/>
      <c r="AU20" s="195"/>
      <c r="AV20" s="195"/>
      <c r="AW20" s="195"/>
      <c r="AX20" s="201" t="str">
        <f>Config!O19</f>
        <v>Honduras</v>
      </c>
      <c r="AY20" s="195">
        <f t="shared" si="0"/>
        <v>0</v>
      </c>
      <c r="AZ20" s="195">
        <f t="shared" si="1"/>
        <v>0</v>
      </c>
      <c r="BA20" s="197">
        <f t="shared" si="2"/>
        <v>0</v>
      </c>
      <c r="BB20" s="195">
        <f t="shared" si="3"/>
        <v>0</v>
      </c>
      <c r="BC20" s="197">
        <f t="shared" si="4"/>
        <v>0</v>
      </c>
      <c r="BD20" s="195">
        <f t="shared" si="5"/>
        <v>0</v>
      </c>
      <c r="BE20" s="197">
        <f t="shared" si="6"/>
        <v>0</v>
      </c>
      <c r="BF20" s="195">
        <f t="shared" si="7"/>
        <v>0</v>
      </c>
      <c r="BG20" s="197">
        <f t="shared" si="8"/>
        <v>0</v>
      </c>
      <c r="BH20" s="195">
        <f t="shared" si="9"/>
        <v>0</v>
      </c>
      <c r="BI20" s="197">
        <f t="shared" si="10"/>
        <v>0</v>
      </c>
      <c r="BJ20" s="195">
        <f t="shared" si="11"/>
        <v>0</v>
      </c>
      <c r="BK20" s="197">
        <f t="shared" si="12"/>
        <v>0</v>
      </c>
      <c r="BL20" s="195">
        <f t="shared" si="13"/>
        <v>0</v>
      </c>
      <c r="BM20" s="197">
        <f t="shared" si="14"/>
        <v>0</v>
      </c>
      <c r="BN20" s="197"/>
    </row>
    <row r="21" spans="1:66" ht="12.95" customHeight="1" x14ac:dyDescent="0.25">
      <c r="A21" s="198" t="str">
        <f>'Antonio J'!B41</f>
        <v>Japón</v>
      </c>
      <c r="B21" s="198" t="str">
        <f>IF('Antonio J'!C41="","",'Antonio J'!C41)</f>
        <v/>
      </c>
      <c r="C21" s="198" t="s">
        <v>24</v>
      </c>
      <c r="D21" s="198" t="str">
        <f>IF('Antonio J'!E41="","",'Antonio J'!E41)</f>
        <v/>
      </c>
      <c r="E21" s="198" t="str">
        <f>'Antonio J'!F41</f>
        <v>Grecia</v>
      </c>
      <c r="F21" s="195"/>
      <c r="G21" s="195" t="str">
        <f>A19</f>
        <v>Costa de Marfil</v>
      </c>
      <c r="H21" s="195" t="str">
        <f>IF('Antonio J'!N40="","",'Antonio J'!N40)</f>
        <v/>
      </c>
      <c r="I21" s="195"/>
      <c r="J21" s="202" t="str">
        <v>Costa de Marfil</v>
      </c>
      <c r="K21" s="198">
        <v>0</v>
      </c>
      <c r="L21" s="198">
        <v>0</v>
      </c>
      <c r="M21" s="198">
        <v>0</v>
      </c>
      <c r="N21" s="198">
        <v>0</v>
      </c>
      <c r="O21" s="198">
        <v>0</v>
      </c>
      <c r="P21" s="198">
        <v>0</v>
      </c>
      <c r="Q21" s="198">
        <v>0</v>
      </c>
      <c r="R21" s="198">
        <v>0</v>
      </c>
      <c r="S21" s="203">
        <v>5000005000</v>
      </c>
      <c r="T21" s="196"/>
      <c r="U21" s="195"/>
      <c r="V21" s="195"/>
      <c r="W21" s="195"/>
      <c r="X21" s="195"/>
      <c r="Y21" s="195"/>
      <c r="Z21" s="195"/>
      <c r="AA21" s="195"/>
      <c r="AB21" s="195"/>
      <c r="AC21" s="195"/>
      <c r="AD21" s="195"/>
      <c r="AE21" s="195"/>
      <c r="AF21" s="195"/>
      <c r="AG21" s="195"/>
      <c r="AH21" s="195"/>
      <c r="AI21" s="195"/>
      <c r="AJ21" s="196"/>
      <c r="AK21" s="196"/>
      <c r="AL21" s="196"/>
      <c r="AM21" s="196"/>
      <c r="AN21" s="196"/>
      <c r="AO21" s="196"/>
      <c r="AP21" s="196"/>
      <c r="AQ21" s="196"/>
      <c r="AR21" s="196"/>
      <c r="AS21" s="196"/>
      <c r="AT21" s="195"/>
      <c r="AU21" s="195"/>
      <c r="AV21" s="195"/>
      <c r="AW21" s="195"/>
      <c r="AX21" s="201" t="str">
        <f>Config!O20</f>
        <v>Francia</v>
      </c>
      <c r="AY21" s="195">
        <f t="shared" si="0"/>
        <v>0</v>
      </c>
      <c r="AZ21" s="195">
        <f t="shared" si="1"/>
        <v>0</v>
      </c>
      <c r="BA21" s="197">
        <f t="shared" si="2"/>
        <v>0</v>
      </c>
      <c r="BB21" s="195">
        <f t="shared" si="3"/>
        <v>0</v>
      </c>
      <c r="BC21" s="197">
        <f t="shared" si="4"/>
        <v>0</v>
      </c>
      <c r="BD21" s="195">
        <f t="shared" si="5"/>
        <v>0</v>
      </c>
      <c r="BE21" s="197">
        <f t="shared" si="6"/>
        <v>0</v>
      </c>
      <c r="BF21" s="195">
        <f t="shared" si="7"/>
        <v>0</v>
      </c>
      <c r="BG21" s="197">
        <f t="shared" si="8"/>
        <v>0</v>
      </c>
      <c r="BH21" s="195">
        <f t="shared" si="9"/>
        <v>0</v>
      </c>
      <c r="BI21" s="197">
        <f t="shared" si="10"/>
        <v>0</v>
      </c>
      <c r="BJ21" s="195">
        <f t="shared" si="11"/>
        <v>0</v>
      </c>
      <c r="BK21" s="197">
        <f t="shared" si="12"/>
        <v>0</v>
      </c>
      <c r="BL21" s="195">
        <f t="shared" si="13"/>
        <v>0</v>
      </c>
      <c r="BM21" s="197">
        <f t="shared" si="14"/>
        <v>0</v>
      </c>
      <c r="BN21" s="197"/>
    </row>
    <row r="22" spans="1:66" ht="12.95" customHeight="1" x14ac:dyDescent="0.25">
      <c r="A22" s="198" t="str">
        <f>'Antonio J'!B42</f>
        <v>Japón</v>
      </c>
      <c r="B22" s="198" t="str">
        <f>IF('Antonio J'!C42="","",'Antonio J'!C42)</f>
        <v/>
      </c>
      <c r="C22" s="198" t="s">
        <v>24</v>
      </c>
      <c r="D22" s="198" t="str">
        <f>IF('Antonio J'!E42="","",'Antonio J'!E42)</f>
        <v/>
      </c>
      <c r="E22" s="198" t="str">
        <f>'Antonio J'!F42</f>
        <v>Colombia</v>
      </c>
      <c r="F22" s="195"/>
      <c r="G22" s="195" t="str">
        <f>E19</f>
        <v>Japón</v>
      </c>
      <c r="H22" s="195" t="str">
        <f>IF('Antonio J'!N41="","",'Antonio J'!N41)</f>
        <v/>
      </c>
      <c r="I22" s="195"/>
      <c r="J22" s="202" t="str">
        <v>Japón</v>
      </c>
      <c r="K22" s="198">
        <v>0</v>
      </c>
      <c r="L22" s="198">
        <v>0</v>
      </c>
      <c r="M22" s="198">
        <v>0</v>
      </c>
      <c r="N22" s="198">
        <v>0</v>
      </c>
      <c r="O22" s="198">
        <v>0</v>
      </c>
      <c r="P22" s="198">
        <v>0</v>
      </c>
      <c r="Q22" s="198">
        <v>0</v>
      </c>
      <c r="R22" s="198">
        <v>0</v>
      </c>
      <c r="S22" s="203">
        <v>5000005000</v>
      </c>
      <c r="T22" s="196"/>
      <c r="U22" s="195"/>
      <c r="V22" s="195"/>
      <c r="W22" s="195"/>
      <c r="X22" s="195"/>
      <c r="Y22" s="195"/>
      <c r="Z22" s="195"/>
      <c r="AA22" s="195"/>
      <c r="AB22" s="195"/>
      <c r="AC22" s="195"/>
      <c r="AD22" s="195"/>
      <c r="AE22" s="195"/>
      <c r="AF22" s="195"/>
      <c r="AG22" s="195"/>
      <c r="AH22" s="195"/>
      <c r="AI22" s="195"/>
      <c r="AJ22" s="196"/>
      <c r="AK22" s="196"/>
      <c r="AL22" s="196"/>
      <c r="AM22" s="196"/>
      <c r="AN22" s="196"/>
      <c r="AO22" s="196"/>
      <c r="AP22" s="196"/>
      <c r="AQ22" s="196"/>
      <c r="AR22" s="196"/>
      <c r="AS22" s="196"/>
      <c r="AT22" s="195"/>
      <c r="AU22" s="195"/>
      <c r="AV22" s="195"/>
      <c r="AW22" s="195"/>
      <c r="AX22" s="201" t="str">
        <f>Config!O21</f>
        <v>Argentina</v>
      </c>
      <c r="AY22" s="195">
        <f t="shared" si="0"/>
        <v>0</v>
      </c>
      <c r="AZ22" s="195">
        <f t="shared" si="1"/>
        <v>0</v>
      </c>
      <c r="BA22" s="197">
        <f t="shared" si="2"/>
        <v>0</v>
      </c>
      <c r="BB22" s="195">
        <f t="shared" si="3"/>
        <v>0</v>
      </c>
      <c r="BC22" s="197">
        <f t="shared" si="4"/>
        <v>0</v>
      </c>
      <c r="BD22" s="195">
        <f t="shared" si="5"/>
        <v>0</v>
      </c>
      <c r="BE22" s="197">
        <f t="shared" si="6"/>
        <v>0</v>
      </c>
      <c r="BF22" s="195">
        <f t="shared" si="7"/>
        <v>0</v>
      </c>
      <c r="BG22" s="197">
        <f t="shared" si="8"/>
        <v>0</v>
      </c>
      <c r="BH22" s="195">
        <f t="shared" si="9"/>
        <v>0</v>
      </c>
      <c r="BI22" s="197">
        <f t="shared" si="10"/>
        <v>0</v>
      </c>
      <c r="BJ22" s="195">
        <f t="shared" si="11"/>
        <v>0</v>
      </c>
      <c r="BK22" s="197">
        <f t="shared" si="12"/>
        <v>0</v>
      </c>
      <c r="BL22" s="195">
        <f t="shared" si="13"/>
        <v>0</v>
      </c>
      <c r="BM22" s="197">
        <f t="shared" si="14"/>
        <v>0</v>
      </c>
      <c r="BN22" s="197"/>
    </row>
    <row r="23" spans="1:66" ht="12.95" customHeight="1" x14ac:dyDescent="0.25">
      <c r="A23" s="198" t="str">
        <f>'Antonio J'!B43</f>
        <v>Grecia</v>
      </c>
      <c r="B23" s="198" t="str">
        <f>IF('Antonio J'!C43="","",'Antonio J'!C43)</f>
        <v/>
      </c>
      <c r="C23" s="198" t="s">
        <v>24</v>
      </c>
      <c r="D23" s="198" t="str">
        <f>IF('Antonio J'!E43="","",'Antonio J'!E43)</f>
        <v/>
      </c>
      <c r="E23" s="198" t="str">
        <f>'Antonio J'!F43</f>
        <v>Costa de Marfil</v>
      </c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205"/>
      <c r="T23" s="196"/>
      <c r="U23" s="196"/>
      <c r="V23" s="195"/>
      <c r="W23" s="195"/>
      <c r="X23" s="195"/>
      <c r="Y23" s="195"/>
      <c r="Z23" s="195"/>
      <c r="AA23" s="195"/>
      <c r="AB23" s="195"/>
      <c r="AC23" s="195" t="s">
        <v>489</v>
      </c>
      <c r="AD23" s="195"/>
      <c r="AE23" s="195"/>
      <c r="AF23" s="195" t="s">
        <v>489</v>
      </c>
      <c r="AG23" s="195"/>
      <c r="AH23" s="195"/>
      <c r="AI23" s="195"/>
      <c r="AJ23" s="196"/>
      <c r="AK23" s="196"/>
      <c r="AL23" s="196"/>
      <c r="AM23" s="196"/>
      <c r="AN23" s="196"/>
      <c r="AO23" s="196"/>
      <c r="AP23" s="196"/>
      <c r="AQ23" s="196"/>
      <c r="AR23" s="196"/>
      <c r="AS23" s="196"/>
      <c r="AT23" s="195"/>
      <c r="AU23" s="195"/>
      <c r="AV23" s="195"/>
      <c r="AW23" s="195"/>
      <c r="AX23" s="201" t="str">
        <f>Config!O22</f>
        <v>Bosnia-Herzegovina</v>
      </c>
      <c r="AY23" s="195">
        <f t="shared" si="0"/>
        <v>0</v>
      </c>
      <c r="AZ23" s="195">
        <f t="shared" si="1"/>
        <v>0</v>
      </c>
      <c r="BA23" s="197">
        <f t="shared" si="2"/>
        <v>0</v>
      </c>
      <c r="BB23" s="195">
        <f t="shared" si="3"/>
        <v>0</v>
      </c>
      <c r="BC23" s="197">
        <f t="shared" si="4"/>
        <v>0</v>
      </c>
      <c r="BD23" s="195">
        <f t="shared" si="5"/>
        <v>0</v>
      </c>
      <c r="BE23" s="197">
        <f t="shared" si="6"/>
        <v>0</v>
      </c>
      <c r="BF23" s="195">
        <f t="shared" si="7"/>
        <v>0</v>
      </c>
      <c r="BG23" s="197">
        <f t="shared" si="8"/>
        <v>0</v>
      </c>
      <c r="BH23" s="195">
        <f t="shared" si="9"/>
        <v>0</v>
      </c>
      <c r="BI23" s="197">
        <f t="shared" si="10"/>
        <v>0</v>
      </c>
      <c r="BJ23" s="195">
        <f t="shared" si="11"/>
        <v>0</v>
      </c>
      <c r="BK23" s="197">
        <f t="shared" si="12"/>
        <v>0</v>
      </c>
      <c r="BL23" s="195">
        <f t="shared" si="13"/>
        <v>0</v>
      </c>
      <c r="BM23" s="197">
        <f t="shared" si="14"/>
        <v>0</v>
      </c>
      <c r="BN23" s="197"/>
    </row>
    <row r="24" spans="1:66" ht="12.95" customHeight="1" x14ac:dyDescent="0.25">
      <c r="A24" s="196"/>
      <c r="B24" s="196"/>
      <c r="C24" s="196"/>
      <c r="D24" s="196"/>
      <c r="E24" s="196"/>
      <c r="F24" s="196"/>
      <c r="G24" s="196"/>
      <c r="H24" s="196"/>
      <c r="I24" s="196"/>
      <c r="J24" s="196"/>
      <c r="K24" s="196"/>
      <c r="L24" s="196"/>
      <c r="M24" s="196"/>
      <c r="N24" s="196"/>
      <c r="O24" s="196"/>
      <c r="P24" s="196"/>
      <c r="Q24" s="196"/>
      <c r="R24" s="196"/>
      <c r="S24" s="196"/>
      <c r="T24" s="196"/>
      <c r="U24" s="196"/>
      <c r="V24" s="195"/>
      <c r="W24" s="195"/>
      <c r="X24" s="195"/>
      <c r="Y24" s="195"/>
      <c r="Z24" s="195"/>
      <c r="AA24" s="195"/>
      <c r="AB24" s="195"/>
      <c r="AC24" s="195" t="s">
        <v>489</v>
      </c>
      <c r="AD24" s="195"/>
      <c r="AE24" s="195"/>
      <c r="AF24" s="195" t="s">
        <v>489</v>
      </c>
      <c r="AG24" s="195"/>
      <c r="AH24" s="195"/>
      <c r="AI24" s="195"/>
      <c r="AJ24" s="196"/>
      <c r="AK24" s="196"/>
      <c r="AL24" s="196"/>
      <c r="AM24" s="196"/>
      <c r="AN24" s="196"/>
      <c r="AO24" s="196"/>
      <c r="AP24" s="196"/>
      <c r="AQ24" s="196"/>
      <c r="AR24" s="196"/>
      <c r="AS24" s="196"/>
      <c r="AT24" s="195"/>
      <c r="AU24" s="195"/>
      <c r="AV24" s="195"/>
      <c r="AW24" s="195"/>
      <c r="AX24" s="201" t="str">
        <f>Config!O23</f>
        <v>Irán</v>
      </c>
      <c r="AY24" s="195">
        <f t="shared" si="0"/>
        <v>0</v>
      </c>
      <c r="AZ24" s="195">
        <f t="shared" si="1"/>
        <v>0</v>
      </c>
      <c r="BA24" s="197">
        <f t="shared" si="2"/>
        <v>0</v>
      </c>
      <c r="BB24" s="195">
        <f t="shared" si="3"/>
        <v>0</v>
      </c>
      <c r="BC24" s="197">
        <f t="shared" si="4"/>
        <v>0</v>
      </c>
      <c r="BD24" s="195">
        <f t="shared" si="5"/>
        <v>0</v>
      </c>
      <c r="BE24" s="197">
        <f t="shared" si="6"/>
        <v>0</v>
      </c>
      <c r="BF24" s="195">
        <f t="shared" si="7"/>
        <v>0</v>
      </c>
      <c r="BG24" s="197">
        <f t="shared" si="8"/>
        <v>0</v>
      </c>
      <c r="BH24" s="195">
        <f t="shared" si="9"/>
        <v>0</v>
      </c>
      <c r="BI24" s="197">
        <f t="shared" si="10"/>
        <v>0</v>
      </c>
      <c r="BJ24" s="195">
        <f t="shared" si="11"/>
        <v>0</v>
      </c>
      <c r="BK24" s="197">
        <f t="shared" si="12"/>
        <v>0</v>
      </c>
      <c r="BL24" s="195">
        <f t="shared" si="13"/>
        <v>0</v>
      </c>
      <c r="BM24" s="197">
        <f t="shared" si="14"/>
        <v>0</v>
      </c>
      <c r="BN24" s="197"/>
    </row>
    <row r="25" spans="1:66" ht="12.95" customHeight="1" x14ac:dyDescent="0.25">
      <c r="A25" s="194" t="s">
        <v>6</v>
      </c>
      <c r="B25" s="194"/>
      <c r="C25" s="194"/>
      <c r="D25" s="194"/>
      <c r="E25" s="194"/>
      <c r="F25" s="195"/>
      <c r="G25" s="195"/>
      <c r="H25" s="195"/>
      <c r="I25" s="195"/>
      <c r="J25" s="194" t="s">
        <v>30</v>
      </c>
      <c r="K25" s="194"/>
      <c r="L25" s="194"/>
      <c r="M25" s="194"/>
      <c r="N25" s="194"/>
      <c r="O25" s="194"/>
      <c r="P25" s="194"/>
      <c r="Q25" s="194"/>
      <c r="R25" s="194"/>
      <c r="S25" s="194"/>
      <c r="T25" s="196"/>
      <c r="U25" s="196"/>
      <c r="V25" s="195"/>
      <c r="W25" s="195"/>
      <c r="X25" s="195"/>
      <c r="Y25" s="195"/>
      <c r="Z25" s="195"/>
      <c r="AA25" s="195"/>
      <c r="AB25" s="195"/>
      <c r="AC25" s="195" t="s">
        <v>489</v>
      </c>
      <c r="AD25" s="195"/>
      <c r="AE25" s="195"/>
      <c r="AF25" s="195" t="s">
        <v>489</v>
      </c>
      <c r="AG25" s="195"/>
      <c r="AH25" s="195"/>
      <c r="AI25" s="195"/>
      <c r="AJ25" s="196"/>
      <c r="AK25" s="196"/>
      <c r="AL25" s="196"/>
      <c r="AM25" s="196"/>
      <c r="AN25" s="196"/>
      <c r="AO25" s="196"/>
      <c r="AP25" s="196"/>
      <c r="AQ25" s="196"/>
      <c r="AR25" s="196"/>
      <c r="AS25" s="196"/>
      <c r="AT25" s="195"/>
      <c r="AU25" s="195"/>
      <c r="AV25" s="195"/>
      <c r="AW25" s="195"/>
      <c r="AX25" s="201" t="str">
        <f>Config!O24</f>
        <v>Nigeria</v>
      </c>
      <c r="AY25" s="195">
        <f t="shared" si="0"/>
        <v>0</v>
      </c>
      <c r="AZ25" s="195">
        <f t="shared" si="1"/>
        <v>0</v>
      </c>
      <c r="BA25" s="197">
        <f t="shared" si="2"/>
        <v>0</v>
      </c>
      <c r="BB25" s="195">
        <f t="shared" si="3"/>
        <v>0</v>
      </c>
      <c r="BC25" s="197">
        <f t="shared" si="4"/>
        <v>0</v>
      </c>
      <c r="BD25" s="195">
        <f t="shared" si="5"/>
        <v>0</v>
      </c>
      <c r="BE25" s="197">
        <f t="shared" si="6"/>
        <v>0</v>
      </c>
      <c r="BF25" s="195">
        <f t="shared" si="7"/>
        <v>0</v>
      </c>
      <c r="BG25" s="197">
        <f t="shared" si="8"/>
        <v>0</v>
      </c>
      <c r="BH25" s="195">
        <f t="shared" si="9"/>
        <v>0</v>
      </c>
      <c r="BI25" s="197">
        <f t="shared" si="10"/>
        <v>0</v>
      </c>
      <c r="BJ25" s="195">
        <f t="shared" si="11"/>
        <v>0</v>
      </c>
      <c r="BK25" s="197">
        <f t="shared" si="12"/>
        <v>0</v>
      </c>
      <c r="BL25" s="195">
        <f t="shared" si="13"/>
        <v>0</v>
      </c>
      <c r="BM25" s="197">
        <f t="shared" si="14"/>
        <v>0</v>
      </c>
      <c r="BN25" s="197"/>
    </row>
    <row r="26" spans="1:66" ht="12.95" customHeight="1" x14ac:dyDescent="0.25">
      <c r="A26" s="198" t="str">
        <f>'Antonio J'!B49</f>
        <v>Uruguay</v>
      </c>
      <c r="B26" s="198" t="str">
        <f>IF('Antonio J'!C49="","",'Antonio J'!C49)</f>
        <v/>
      </c>
      <c r="C26" s="198" t="s">
        <v>24</v>
      </c>
      <c r="D26" s="198" t="str">
        <f>IF('Antonio J'!E49="","",'Antonio J'!E49)</f>
        <v/>
      </c>
      <c r="E26" s="198" t="str">
        <f>'Antonio J'!F49</f>
        <v>Costa Rica</v>
      </c>
      <c r="F26" s="195"/>
      <c r="G26" s="194" t="s">
        <v>476</v>
      </c>
      <c r="H26" s="194"/>
      <c r="I26" s="195"/>
      <c r="J26" s="195" t="s">
        <v>464</v>
      </c>
      <c r="K26" s="199" t="s">
        <v>31</v>
      </c>
      <c r="L26" s="199" t="s">
        <v>32</v>
      </c>
      <c r="M26" s="199" t="s">
        <v>33</v>
      </c>
      <c r="N26" s="199" t="s">
        <v>34</v>
      </c>
      <c r="O26" s="199" t="s">
        <v>35</v>
      </c>
      <c r="P26" s="199" t="s">
        <v>36</v>
      </c>
      <c r="Q26" s="199" t="s">
        <v>37</v>
      </c>
      <c r="R26" s="199" t="s">
        <v>38</v>
      </c>
      <c r="S26" s="200" t="s">
        <v>477</v>
      </c>
      <c r="T26" s="196"/>
      <c r="U26" s="196"/>
      <c r="V26" s="195"/>
      <c r="W26" s="195"/>
      <c r="X26" s="195"/>
      <c r="Y26" s="195"/>
      <c r="Z26" s="195"/>
      <c r="AA26" s="195"/>
      <c r="AB26" s="195"/>
      <c r="AC26" s="195" t="s">
        <v>489</v>
      </c>
      <c r="AD26" s="195"/>
      <c r="AE26" s="195"/>
      <c r="AF26" s="195" t="s">
        <v>489</v>
      </c>
      <c r="AG26" s="195"/>
      <c r="AH26" s="195"/>
      <c r="AI26" s="195"/>
      <c r="AJ26" s="196"/>
      <c r="AK26" s="196"/>
      <c r="AL26" s="196"/>
      <c r="AM26" s="196"/>
      <c r="AN26" s="196"/>
      <c r="AO26" s="196"/>
      <c r="AP26" s="196"/>
      <c r="AQ26" s="196"/>
      <c r="AR26" s="196"/>
      <c r="AS26" s="196"/>
      <c r="AT26" s="195"/>
      <c r="AU26" s="195"/>
      <c r="AV26" s="195"/>
      <c r="AW26" s="195"/>
      <c r="AX26" s="201" t="str">
        <f>Config!O25</f>
        <v>Alemania</v>
      </c>
      <c r="AY26" s="195">
        <f t="shared" si="0"/>
        <v>0</v>
      </c>
      <c r="AZ26" s="195">
        <f t="shared" si="1"/>
        <v>0</v>
      </c>
      <c r="BA26" s="197">
        <f t="shared" si="2"/>
        <v>0</v>
      </c>
      <c r="BB26" s="195">
        <f t="shared" si="3"/>
        <v>0</v>
      </c>
      <c r="BC26" s="197">
        <f t="shared" si="4"/>
        <v>0</v>
      </c>
      <c r="BD26" s="195">
        <f t="shared" si="5"/>
        <v>0</v>
      </c>
      <c r="BE26" s="197">
        <f t="shared" si="6"/>
        <v>0</v>
      </c>
      <c r="BF26" s="195">
        <f t="shared" si="7"/>
        <v>0</v>
      </c>
      <c r="BG26" s="197">
        <f t="shared" si="8"/>
        <v>0</v>
      </c>
      <c r="BH26" s="195">
        <f t="shared" si="9"/>
        <v>0</v>
      </c>
      <c r="BI26" s="197">
        <f t="shared" si="10"/>
        <v>0</v>
      </c>
      <c r="BJ26" s="195">
        <f t="shared" si="11"/>
        <v>0</v>
      </c>
      <c r="BK26" s="197">
        <f t="shared" si="12"/>
        <v>0</v>
      </c>
      <c r="BL26" s="195">
        <f t="shared" si="13"/>
        <v>0</v>
      </c>
      <c r="BM26" s="197">
        <f t="shared" si="14"/>
        <v>0</v>
      </c>
      <c r="BN26" s="197"/>
    </row>
    <row r="27" spans="1:66" ht="12.95" customHeight="1" x14ac:dyDescent="0.25">
      <c r="A27" s="198" t="str">
        <f>'Antonio J'!B50</f>
        <v>Inglaterra</v>
      </c>
      <c r="B27" s="198" t="str">
        <f>IF('Antonio J'!C50="","",'Antonio J'!C50)</f>
        <v/>
      </c>
      <c r="C27" s="198" t="s">
        <v>24</v>
      </c>
      <c r="D27" s="198" t="str">
        <f>IF('Antonio J'!E50="","",'Antonio J'!E50)</f>
        <v/>
      </c>
      <c r="E27" s="198" t="str">
        <f>'Antonio J'!F50</f>
        <v>Italia</v>
      </c>
      <c r="F27" s="195"/>
      <c r="G27" s="195" t="str">
        <f>A26</f>
        <v>Uruguay</v>
      </c>
      <c r="H27" s="195" t="str">
        <f>IF('Antonio J'!N49="","",'Antonio J'!N49)</f>
        <v/>
      </c>
      <c r="I27" s="195"/>
      <c r="J27" s="202" t="str">
        <f t="array" ref="J27:S30">Obtiene_Datos(A26:E31,G27:H30,A25)</f>
        <v>Uruguay</v>
      </c>
      <c r="K27" s="198">
        <v>0</v>
      </c>
      <c r="L27" s="198">
        <v>0</v>
      </c>
      <c r="M27" s="198">
        <v>0</v>
      </c>
      <c r="N27" s="198">
        <v>0</v>
      </c>
      <c r="O27" s="198">
        <v>0</v>
      </c>
      <c r="P27" s="198">
        <v>0</v>
      </c>
      <c r="Q27" s="198">
        <v>0</v>
      </c>
      <c r="R27" s="198">
        <v>0</v>
      </c>
      <c r="S27" s="203">
        <v>5000005000</v>
      </c>
      <c r="T27" s="196"/>
      <c r="U27" s="196"/>
      <c r="V27" s="195"/>
      <c r="W27" s="195"/>
      <c r="X27" s="195"/>
      <c r="Y27" s="195"/>
      <c r="Z27" s="195"/>
      <c r="AA27" s="195"/>
      <c r="AB27" s="195"/>
      <c r="AC27" s="195" t="s">
        <v>489</v>
      </c>
      <c r="AD27" s="195"/>
      <c r="AE27" s="195"/>
      <c r="AF27" s="195" t="s">
        <v>489</v>
      </c>
      <c r="AG27" s="195"/>
      <c r="AH27" s="195"/>
      <c r="AI27" s="195"/>
      <c r="AJ27" s="196"/>
      <c r="AK27" s="196"/>
      <c r="AL27" s="196"/>
      <c r="AM27" s="196"/>
      <c r="AN27" s="196"/>
      <c r="AO27" s="196"/>
      <c r="AP27" s="196"/>
      <c r="AQ27" s="196"/>
      <c r="AR27" s="196"/>
      <c r="AS27" s="196"/>
      <c r="AT27" s="195"/>
      <c r="AU27" s="195"/>
      <c r="AV27" s="195"/>
      <c r="AW27" s="195"/>
      <c r="AX27" s="201" t="str">
        <f>Config!O26</f>
        <v>Portugal</v>
      </c>
      <c r="AY27" s="195">
        <f t="shared" si="0"/>
        <v>0</v>
      </c>
      <c r="AZ27" s="195">
        <f t="shared" si="1"/>
        <v>0</v>
      </c>
      <c r="BA27" s="197">
        <f t="shared" si="2"/>
        <v>0</v>
      </c>
      <c r="BB27" s="195">
        <f t="shared" si="3"/>
        <v>0</v>
      </c>
      <c r="BC27" s="197">
        <f t="shared" si="4"/>
        <v>0</v>
      </c>
      <c r="BD27" s="195">
        <f t="shared" si="5"/>
        <v>0</v>
      </c>
      <c r="BE27" s="197">
        <f t="shared" si="6"/>
        <v>0</v>
      </c>
      <c r="BF27" s="195">
        <f t="shared" si="7"/>
        <v>0</v>
      </c>
      <c r="BG27" s="197">
        <f t="shared" si="8"/>
        <v>0</v>
      </c>
      <c r="BH27" s="195">
        <f t="shared" si="9"/>
        <v>0</v>
      </c>
      <c r="BI27" s="197">
        <f t="shared" si="10"/>
        <v>0</v>
      </c>
      <c r="BJ27" s="195">
        <f t="shared" si="11"/>
        <v>0</v>
      </c>
      <c r="BK27" s="197">
        <f t="shared" si="12"/>
        <v>0</v>
      </c>
      <c r="BL27" s="195">
        <f t="shared" si="13"/>
        <v>0</v>
      </c>
      <c r="BM27" s="197">
        <f t="shared" si="14"/>
        <v>0</v>
      </c>
      <c r="BN27" s="197"/>
    </row>
    <row r="28" spans="1:66" ht="12.95" customHeight="1" x14ac:dyDescent="0.25">
      <c r="A28" s="198" t="str">
        <f>'Antonio J'!B51</f>
        <v>Uruguay</v>
      </c>
      <c r="B28" s="198" t="str">
        <f>IF('Antonio J'!C51="","",'Antonio J'!C51)</f>
        <v/>
      </c>
      <c r="C28" s="198" t="s">
        <v>24</v>
      </c>
      <c r="D28" s="198" t="str">
        <f>IF('Antonio J'!E51="","",'Antonio J'!E51)</f>
        <v/>
      </c>
      <c r="E28" s="198" t="str">
        <f>'Antonio J'!F51</f>
        <v>Inglaterra</v>
      </c>
      <c r="F28" s="195"/>
      <c r="G28" s="195" t="str">
        <f>E26</f>
        <v>Costa Rica</v>
      </c>
      <c r="H28" s="195" t="str">
        <f>IF('Antonio J'!N50="","",'Antonio J'!N50)</f>
        <v/>
      </c>
      <c r="I28" s="195"/>
      <c r="J28" s="202" t="str">
        <v>Costa Rica</v>
      </c>
      <c r="K28" s="198">
        <v>0</v>
      </c>
      <c r="L28" s="198">
        <v>0</v>
      </c>
      <c r="M28" s="198">
        <v>0</v>
      </c>
      <c r="N28" s="198">
        <v>0</v>
      </c>
      <c r="O28" s="198">
        <v>0</v>
      </c>
      <c r="P28" s="198">
        <v>0</v>
      </c>
      <c r="Q28" s="198">
        <v>0</v>
      </c>
      <c r="R28" s="198">
        <v>0</v>
      </c>
      <c r="S28" s="203">
        <v>5000005000</v>
      </c>
      <c r="T28" s="196"/>
      <c r="U28" s="196"/>
      <c r="V28" s="195"/>
      <c r="W28" s="195"/>
      <c r="X28" s="195"/>
      <c r="Y28" s="195"/>
      <c r="Z28" s="195"/>
      <c r="AA28" s="195"/>
      <c r="AB28" s="195"/>
      <c r="AC28" s="195" t="s">
        <v>489</v>
      </c>
      <c r="AD28" s="195"/>
      <c r="AE28" s="195"/>
      <c r="AF28" s="195" t="s">
        <v>489</v>
      </c>
      <c r="AG28" s="195"/>
      <c r="AH28" s="195"/>
      <c r="AI28" s="195"/>
      <c r="AJ28" s="196"/>
      <c r="AK28" s="196"/>
      <c r="AL28" s="196"/>
      <c r="AM28" s="196"/>
      <c r="AN28" s="196"/>
      <c r="AO28" s="196"/>
      <c r="AP28" s="196"/>
      <c r="AQ28" s="196"/>
      <c r="AR28" s="196"/>
      <c r="AS28" s="196"/>
      <c r="AT28" s="195"/>
      <c r="AU28" s="195"/>
      <c r="AV28" s="195"/>
      <c r="AW28" s="195"/>
      <c r="AX28" s="201" t="str">
        <f>Config!O27</f>
        <v>Ghana</v>
      </c>
      <c r="AY28" s="195">
        <f t="shared" si="0"/>
        <v>0</v>
      </c>
      <c r="AZ28" s="195">
        <f t="shared" si="1"/>
        <v>0</v>
      </c>
      <c r="BA28" s="197">
        <f t="shared" si="2"/>
        <v>0</v>
      </c>
      <c r="BB28" s="195">
        <f t="shared" si="3"/>
        <v>0</v>
      </c>
      <c r="BC28" s="197">
        <f t="shared" si="4"/>
        <v>0</v>
      </c>
      <c r="BD28" s="195">
        <f t="shared" si="5"/>
        <v>0</v>
      </c>
      <c r="BE28" s="197">
        <f t="shared" si="6"/>
        <v>0</v>
      </c>
      <c r="BF28" s="195">
        <f t="shared" si="7"/>
        <v>0</v>
      </c>
      <c r="BG28" s="197">
        <f t="shared" si="8"/>
        <v>0</v>
      </c>
      <c r="BH28" s="195">
        <f t="shared" si="9"/>
        <v>0</v>
      </c>
      <c r="BI28" s="197">
        <f t="shared" si="10"/>
        <v>0</v>
      </c>
      <c r="BJ28" s="195">
        <f t="shared" si="11"/>
        <v>0</v>
      </c>
      <c r="BK28" s="197">
        <f t="shared" si="12"/>
        <v>0</v>
      </c>
      <c r="BL28" s="195">
        <f t="shared" si="13"/>
        <v>0</v>
      </c>
      <c r="BM28" s="197">
        <f t="shared" si="14"/>
        <v>0</v>
      </c>
      <c r="BN28" s="197"/>
    </row>
    <row r="29" spans="1:66" ht="12.95" customHeight="1" x14ac:dyDescent="0.25">
      <c r="A29" s="198" t="str">
        <f>'Antonio J'!B52</f>
        <v>Italia</v>
      </c>
      <c r="B29" s="198" t="str">
        <f>IF('Antonio J'!C52="","",'Antonio J'!C52)</f>
        <v/>
      </c>
      <c r="C29" s="198" t="s">
        <v>24</v>
      </c>
      <c r="D29" s="198" t="str">
        <f>IF('Antonio J'!E52="","",'Antonio J'!E52)</f>
        <v/>
      </c>
      <c r="E29" s="198" t="str">
        <f>'Antonio J'!F52</f>
        <v>Costa Rica</v>
      </c>
      <c r="F29" s="195"/>
      <c r="G29" s="195" t="str">
        <f>A27</f>
        <v>Inglaterra</v>
      </c>
      <c r="H29" s="195" t="str">
        <f>IF('Antonio J'!N51="","",'Antonio J'!N51)</f>
        <v/>
      </c>
      <c r="I29" s="195"/>
      <c r="J29" s="202" t="str">
        <v>Inglaterra</v>
      </c>
      <c r="K29" s="198">
        <v>0</v>
      </c>
      <c r="L29" s="198">
        <v>0</v>
      </c>
      <c r="M29" s="198">
        <v>0</v>
      </c>
      <c r="N29" s="198">
        <v>0</v>
      </c>
      <c r="O29" s="198">
        <v>0</v>
      </c>
      <c r="P29" s="198">
        <v>0</v>
      </c>
      <c r="Q29" s="198">
        <v>0</v>
      </c>
      <c r="R29" s="198">
        <v>0</v>
      </c>
      <c r="S29" s="203">
        <v>5000005000</v>
      </c>
      <c r="T29" s="196"/>
      <c r="U29" s="196"/>
      <c r="V29" s="195"/>
      <c r="W29" s="195"/>
      <c r="X29" s="195"/>
      <c r="Y29" s="195"/>
      <c r="Z29" s="195"/>
      <c r="AA29" s="195"/>
      <c r="AB29" s="195"/>
      <c r="AC29" s="195" t="s">
        <v>489</v>
      </c>
      <c r="AD29" s="195"/>
      <c r="AE29" s="195"/>
      <c r="AF29" s="195" t="s">
        <v>489</v>
      </c>
      <c r="AG29" s="195"/>
      <c r="AH29" s="195"/>
      <c r="AI29" s="195"/>
      <c r="AJ29" s="196"/>
      <c r="AK29" s="196"/>
      <c r="AL29" s="196"/>
      <c r="AM29" s="196"/>
      <c r="AN29" s="196"/>
      <c r="AO29" s="196"/>
      <c r="AP29" s="196"/>
      <c r="AQ29" s="196"/>
      <c r="AR29" s="196"/>
      <c r="AS29" s="196"/>
      <c r="AT29" s="195"/>
      <c r="AU29" s="195"/>
      <c r="AV29" s="195"/>
      <c r="AW29" s="195"/>
      <c r="AX29" s="201" t="str">
        <f>Config!O28</f>
        <v>EEUU</v>
      </c>
      <c r="AY29" s="195">
        <f t="shared" si="0"/>
        <v>0</v>
      </c>
      <c r="AZ29" s="195">
        <f t="shared" si="1"/>
        <v>0</v>
      </c>
      <c r="BA29" s="197">
        <f t="shared" si="2"/>
        <v>0</v>
      </c>
      <c r="BB29" s="195">
        <f t="shared" si="3"/>
        <v>0</v>
      </c>
      <c r="BC29" s="197">
        <f t="shared" si="4"/>
        <v>0</v>
      </c>
      <c r="BD29" s="195">
        <f t="shared" si="5"/>
        <v>0</v>
      </c>
      <c r="BE29" s="197">
        <f t="shared" si="6"/>
        <v>0</v>
      </c>
      <c r="BF29" s="195">
        <f t="shared" si="7"/>
        <v>0</v>
      </c>
      <c r="BG29" s="197">
        <f t="shared" si="8"/>
        <v>0</v>
      </c>
      <c r="BH29" s="195">
        <f t="shared" si="9"/>
        <v>0</v>
      </c>
      <c r="BI29" s="197">
        <f t="shared" si="10"/>
        <v>0</v>
      </c>
      <c r="BJ29" s="195">
        <f t="shared" si="11"/>
        <v>0</v>
      </c>
      <c r="BK29" s="197">
        <f t="shared" si="12"/>
        <v>0</v>
      </c>
      <c r="BL29" s="195">
        <f t="shared" si="13"/>
        <v>0</v>
      </c>
      <c r="BM29" s="197">
        <f t="shared" si="14"/>
        <v>0</v>
      </c>
      <c r="BN29" s="197"/>
    </row>
    <row r="30" spans="1:66" ht="12.95" customHeight="1" x14ac:dyDescent="0.25">
      <c r="A30" s="198" t="str">
        <f>'Antonio J'!B53</f>
        <v>Italia</v>
      </c>
      <c r="B30" s="198" t="str">
        <f>IF('Antonio J'!C53="","",'Antonio J'!C53)</f>
        <v/>
      </c>
      <c r="C30" s="198" t="s">
        <v>24</v>
      </c>
      <c r="D30" s="198" t="str">
        <f>IF('Antonio J'!E53="","",'Antonio J'!E53)</f>
        <v/>
      </c>
      <c r="E30" s="198" t="str">
        <f>'Antonio J'!F53</f>
        <v>Uruguay</v>
      </c>
      <c r="F30" s="195"/>
      <c r="G30" s="195" t="str">
        <f>E27</f>
        <v>Italia</v>
      </c>
      <c r="H30" s="195" t="str">
        <f>IF('Antonio J'!N52="","",'Antonio J'!N52)</f>
        <v/>
      </c>
      <c r="I30" s="195"/>
      <c r="J30" s="202" t="str">
        <v>Italia</v>
      </c>
      <c r="K30" s="198">
        <v>0</v>
      </c>
      <c r="L30" s="198">
        <v>0</v>
      </c>
      <c r="M30" s="198">
        <v>0</v>
      </c>
      <c r="N30" s="198">
        <v>0</v>
      </c>
      <c r="O30" s="198">
        <v>0</v>
      </c>
      <c r="P30" s="198">
        <v>0</v>
      </c>
      <c r="Q30" s="198">
        <v>0</v>
      </c>
      <c r="R30" s="198">
        <v>0</v>
      </c>
      <c r="S30" s="203">
        <v>5000005000</v>
      </c>
      <c r="T30" s="196"/>
      <c r="U30" s="196"/>
      <c r="V30" s="195"/>
      <c r="W30" s="195"/>
      <c r="X30" s="195"/>
      <c r="Y30" s="195"/>
      <c r="Z30" s="195"/>
      <c r="AA30" s="195"/>
      <c r="AB30" s="195"/>
      <c r="AC30" s="195" t="s">
        <v>489</v>
      </c>
      <c r="AD30" s="195"/>
      <c r="AE30" s="195"/>
      <c r="AF30" s="195" t="s">
        <v>489</v>
      </c>
      <c r="AG30" s="195"/>
      <c r="AH30" s="195"/>
      <c r="AI30" s="195"/>
      <c r="AJ30" s="196"/>
      <c r="AK30" s="196"/>
      <c r="AL30" s="196"/>
      <c r="AM30" s="196"/>
      <c r="AN30" s="196"/>
      <c r="AO30" s="196"/>
      <c r="AP30" s="196"/>
      <c r="AQ30" s="196"/>
      <c r="AR30" s="196"/>
      <c r="AS30" s="196"/>
      <c r="AT30" s="195"/>
      <c r="AU30" s="195"/>
      <c r="AV30" s="195"/>
      <c r="AW30" s="195"/>
      <c r="AX30" s="201" t="str">
        <f>Config!O29</f>
        <v>Bélgica</v>
      </c>
      <c r="AY30" s="195">
        <f t="shared" si="0"/>
        <v>0</v>
      </c>
      <c r="AZ30" s="195">
        <f t="shared" si="1"/>
        <v>0</v>
      </c>
      <c r="BA30" s="197">
        <f t="shared" si="2"/>
        <v>0</v>
      </c>
      <c r="BB30" s="195">
        <f t="shared" si="3"/>
        <v>0</v>
      </c>
      <c r="BC30" s="197">
        <f t="shared" si="4"/>
        <v>0</v>
      </c>
      <c r="BD30" s="195">
        <f t="shared" si="5"/>
        <v>0</v>
      </c>
      <c r="BE30" s="197">
        <f t="shared" si="6"/>
        <v>0</v>
      </c>
      <c r="BF30" s="195">
        <f t="shared" si="7"/>
        <v>0</v>
      </c>
      <c r="BG30" s="197">
        <f t="shared" si="8"/>
        <v>0</v>
      </c>
      <c r="BH30" s="195">
        <f t="shared" si="9"/>
        <v>0</v>
      </c>
      <c r="BI30" s="197">
        <f t="shared" si="10"/>
        <v>0</v>
      </c>
      <c r="BJ30" s="195">
        <f t="shared" si="11"/>
        <v>0</v>
      </c>
      <c r="BK30" s="197">
        <f t="shared" si="12"/>
        <v>0</v>
      </c>
      <c r="BL30" s="195">
        <f t="shared" si="13"/>
        <v>0</v>
      </c>
      <c r="BM30" s="197">
        <f t="shared" si="14"/>
        <v>0</v>
      </c>
      <c r="BN30" s="197"/>
    </row>
    <row r="31" spans="1:66" ht="12.95" customHeight="1" x14ac:dyDescent="0.25">
      <c r="A31" s="198" t="str">
        <f>'Antonio J'!B54</f>
        <v>Costa Rica</v>
      </c>
      <c r="B31" s="198" t="str">
        <f>IF('Antonio J'!C54="","",'Antonio J'!C54)</f>
        <v/>
      </c>
      <c r="C31" s="198" t="s">
        <v>24</v>
      </c>
      <c r="D31" s="198" t="str">
        <f>IF('Antonio J'!E54="","",'Antonio J'!E54)</f>
        <v/>
      </c>
      <c r="E31" s="198" t="str">
        <f>'Antonio J'!F54</f>
        <v>Inglaterra</v>
      </c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205"/>
      <c r="T31" s="196"/>
      <c r="U31" s="196"/>
      <c r="V31" s="195"/>
      <c r="W31" s="195"/>
      <c r="X31" s="195"/>
      <c r="Y31" s="195"/>
      <c r="Z31" s="195"/>
      <c r="AA31" s="195"/>
      <c r="AB31" s="195"/>
      <c r="AC31" s="195"/>
      <c r="AD31" s="195"/>
      <c r="AE31" s="195"/>
      <c r="AF31" s="195"/>
      <c r="AG31" s="195"/>
      <c r="AH31" s="195"/>
      <c r="AI31" s="195"/>
      <c r="AJ31" s="196"/>
      <c r="AK31" s="196"/>
      <c r="AL31" s="196"/>
      <c r="AM31" s="196"/>
      <c r="AN31" s="196"/>
      <c r="AO31" s="196"/>
      <c r="AP31" s="196"/>
      <c r="AQ31" s="196"/>
      <c r="AR31" s="196"/>
      <c r="AS31" s="196"/>
      <c r="AT31" s="195"/>
      <c r="AU31" s="195"/>
      <c r="AV31" s="195"/>
      <c r="AW31" s="195"/>
      <c r="AX31" s="201" t="str">
        <f>Config!O30</f>
        <v>Argelia</v>
      </c>
      <c r="AY31" s="195">
        <f t="shared" si="0"/>
        <v>0</v>
      </c>
      <c r="AZ31" s="195">
        <f t="shared" si="1"/>
        <v>0</v>
      </c>
      <c r="BA31" s="197">
        <f t="shared" si="2"/>
        <v>0</v>
      </c>
      <c r="BB31" s="195">
        <f t="shared" si="3"/>
        <v>0</v>
      </c>
      <c r="BC31" s="197">
        <f t="shared" si="4"/>
        <v>0</v>
      </c>
      <c r="BD31" s="195">
        <f t="shared" si="5"/>
        <v>0</v>
      </c>
      <c r="BE31" s="197">
        <f t="shared" si="6"/>
        <v>0</v>
      </c>
      <c r="BF31" s="195">
        <f t="shared" si="7"/>
        <v>0</v>
      </c>
      <c r="BG31" s="197">
        <f t="shared" si="8"/>
        <v>0</v>
      </c>
      <c r="BH31" s="195">
        <f t="shared" si="9"/>
        <v>0</v>
      </c>
      <c r="BI31" s="197">
        <f t="shared" si="10"/>
        <v>0</v>
      </c>
      <c r="BJ31" s="195">
        <f t="shared" si="11"/>
        <v>0</v>
      </c>
      <c r="BK31" s="197">
        <f t="shared" si="12"/>
        <v>0</v>
      </c>
      <c r="BL31" s="195">
        <f t="shared" si="13"/>
        <v>0</v>
      </c>
      <c r="BM31" s="197">
        <f t="shared" si="14"/>
        <v>0</v>
      </c>
      <c r="BN31" s="197"/>
    </row>
    <row r="32" spans="1:66" ht="12.95" customHeight="1" x14ac:dyDescent="0.25">
      <c r="A32" s="196"/>
      <c r="B32" s="196"/>
      <c r="C32" s="196"/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6"/>
      <c r="U32" s="196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195"/>
      <c r="AG32" s="195"/>
      <c r="AH32" s="195"/>
      <c r="AI32" s="195"/>
      <c r="AJ32" s="196"/>
      <c r="AK32" s="196"/>
      <c r="AL32" s="196"/>
      <c r="AM32" s="196"/>
      <c r="AN32" s="196"/>
      <c r="AO32" s="196"/>
      <c r="AP32" s="196"/>
      <c r="AQ32" s="196"/>
      <c r="AR32" s="196"/>
      <c r="AS32" s="196"/>
      <c r="AT32" s="195"/>
      <c r="AU32" s="195"/>
      <c r="AV32" s="195"/>
      <c r="AW32" s="195"/>
      <c r="AX32" s="201" t="str">
        <f>Config!O31</f>
        <v>Rusia</v>
      </c>
      <c r="AY32" s="195">
        <f t="shared" si="0"/>
        <v>0</v>
      </c>
      <c r="AZ32" s="195">
        <f t="shared" si="1"/>
        <v>0</v>
      </c>
      <c r="BA32" s="197">
        <f t="shared" si="2"/>
        <v>0</v>
      </c>
      <c r="BB32" s="195">
        <f t="shared" si="3"/>
        <v>0</v>
      </c>
      <c r="BC32" s="197">
        <f t="shared" si="4"/>
        <v>0</v>
      </c>
      <c r="BD32" s="195">
        <f t="shared" si="5"/>
        <v>0</v>
      </c>
      <c r="BE32" s="197">
        <f t="shared" si="6"/>
        <v>0</v>
      </c>
      <c r="BF32" s="195">
        <f t="shared" si="7"/>
        <v>0</v>
      </c>
      <c r="BG32" s="197">
        <f t="shared" si="8"/>
        <v>0</v>
      </c>
      <c r="BH32" s="195">
        <f t="shared" si="9"/>
        <v>0</v>
      </c>
      <c r="BI32" s="197">
        <f t="shared" si="10"/>
        <v>0</v>
      </c>
      <c r="BJ32" s="195">
        <f t="shared" si="11"/>
        <v>0</v>
      </c>
      <c r="BK32" s="197">
        <f t="shared" si="12"/>
        <v>0</v>
      </c>
      <c r="BL32" s="195">
        <f t="shared" si="13"/>
        <v>0</v>
      </c>
      <c r="BM32" s="197">
        <f t="shared" si="14"/>
        <v>0</v>
      </c>
      <c r="BN32" s="197"/>
    </row>
    <row r="33" spans="1:66" ht="12.95" customHeight="1" x14ac:dyDescent="0.25">
      <c r="A33" s="194" t="s">
        <v>7</v>
      </c>
      <c r="B33" s="194"/>
      <c r="C33" s="194"/>
      <c r="D33" s="194"/>
      <c r="E33" s="194"/>
      <c r="F33" s="195"/>
      <c r="G33" s="195"/>
      <c r="H33" s="195"/>
      <c r="I33" s="195"/>
      <c r="J33" s="194" t="s">
        <v>30</v>
      </c>
      <c r="K33" s="194"/>
      <c r="L33" s="194"/>
      <c r="M33" s="194"/>
      <c r="N33" s="194"/>
      <c r="O33" s="194"/>
      <c r="P33" s="194"/>
      <c r="Q33" s="194"/>
      <c r="R33" s="194"/>
      <c r="S33" s="194"/>
      <c r="T33" s="196"/>
      <c r="U33" s="196"/>
      <c r="V33" s="196"/>
      <c r="W33" s="196"/>
      <c r="X33" s="196"/>
      <c r="Y33" s="196"/>
      <c r="Z33" s="196"/>
      <c r="AA33" s="196"/>
      <c r="AB33" s="196"/>
      <c r="AC33" s="196"/>
      <c r="AD33" s="196"/>
      <c r="AE33" s="196"/>
      <c r="AF33" s="196"/>
      <c r="AG33" s="196"/>
      <c r="AH33" s="196"/>
      <c r="AI33" s="196"/>
      <c r="AJ33" s="196"/>
      <c r="AK33" s="196"/>
      <c r="AL33" s="196"/>
      <c r="AM33" s="196"/>
      <c r="AN33" s="196"/>
      <c r="AO33" s="196"/>
      <c r="AP33" s="196"/>
      <c r="AQ33" s="196"/>
      <c r="AR33" s="196"/>
      <c r="AS33" s="196"/>
      <c r="AT33" s="195"/>
      <c r="AU33" s="195"/>
      <c r="AV33" s="195"/>
      <c r="AW33" s="195"/>
      <c r="AX33" s="201" t="str">
        <f>Config!O32</f>
        <v>República de Corea</v>
      </c>
      <c r="AY33" s="195">
        <f t="shared" si="0"/>
        <v>0</v>
      </c>
      <c r="AZ33" s="195">
        <f t="shared" si="1"/>
        <v>0</v>
      </c>
      <c r="BA33" s="197">
        <f t="shared" si="2"/>
        <v>0</v>
      </c>
      <c r="BB33" s="195">
        <f t="shared" si="3"/>
        <v>0</v>
      </c>
      <c r="BC33" s="197">
        <f t="shared" si="4"/>
        <v>0</v>
      </c>
      <c r="BD33" s="195">
        <f t="shared" si="5"/>
        <v>0</v>
      </c>
      <c r="BE33" s="197">
        <f t="shared" si="6"/>
        <v>0</v>
      </c>
      <c r="BF33" s="195">
        <f t="shared" si="7"/>
        <v>0</v>
      </c>
      <c r="BG33" s="197">
        <f t="shared" si="8"/>
        <v>0</v>
      </c>
      <c r="BH33" s="195">
        <f t="shared" si="9"/>
        <v>0</v>
      </c>
      <c r="BI33" s="197">
        <f t="shared" si="10"/>
        <v>0</v>
      </c>
      <c r="BJ33" s="195">
        <f t="shared" si="11"/>
        <v>0</v>
      </c>
      <c r="BK33" s="197">
        <f t="shared" si="12"/>
        <v>0</v>
      </c>
      <c r="BL33" s="195">
        <f t="shared" si="13"/>
        <v>0</v>
      </c>
      <c r="BM33" s="197">
        <f t="shared" si="14"/>
        <v>0</v>
      </c>
      <c r="BN33" s="197"/>
    </row>
    <row r="34" spans="1:66" ht="12.95" customHeight="1" x14ac:dyDescent="0.25">
      <c r="A34" s="198" t="str">
        <f>'Antonio J'!B60</f>
        <v>Suiza</v>
      </c>
      <c r="B34" s="198" t="str">
        <f>IF('Antonio J'!C60="","",'Antonio J'!C60)</f>
        <v/>
      </c>
      <c r="C34" s="198" t="s">
        <v>24</v>
      </c>
      <c r="D34" s="198" t="str">
        <f>IF('Antonio J'!E60="","",'Antonio J'!E60)</f>
        <v/>
      </c>
      <c r="E34" s="198" t="str">
        <f>'Antonio J'!F60</f>
        <v>Ecuador</v>
      </c>
      <c r="F34" s="195"/>
      <c r="G34" s="194" t="s">
        <v>476</v>
      </c>
      <c r="H34" s="194"/>
      <c r="I34" s="195"/>
      <c r="J34" s="195" t="s">
        <v>464</v>
      </c>
      <c r="K34" s="199" t="s">
        <v>31</v>
      </c>
      <c r="L34" s="199" t="s">
        <v>32</v>
      </c>
      <c r="M34" s="199" t="s">
        <v>33</v>
      </c>
      <c r="N34" s="199" t="s">
        <v>34</v>
      </c>
      <c r="O34" s="199" t="s">
        <v>35</v>
      </c>
      <c r="P34" s="199" t="s">
        <v>36</v>
      </c>
      <c r="Q34" s="199" t="s">
        <v>37</v>
      </c>
      <c r="R34" s="199" t="s">
        <v>38</v>
      </c>
      <c r="S34" s="200" t="s">
        <v>477</v>
      </c>
      <c r="T34" s="196"/>
      <c r="U34" s="196"/>
      <c r="V34" s="196"/>
      <c r="W34" s="196"/>
      <c r="X34" s="196"/>
      <c r="Y34" s="196"/>
      <c r="Z34" s="196"/>
      <c r="AA34" s="196"/>
      <c r="AB34" s="196"/>
      <c r="AC34" s="196"/>
      <c r="AD34" s="196"/>
      <c r="AE34" s="196"/>
      <c r="AF34" s="196"/>
      <c r="AG34" s="196"/>
      <c r="AH34" s="196"/>
      <c r="AI34" s="196"/>
      <c r="AJ34" s="196"/>
      <c r="AK34" s="196"/>
      <c r="AL34" s="196"/>
      <c r="AM34" s="196"/>
      <c r="AN34" s="196"/>
      <c r="AO34" s="196"/>
      <c r="AP34" s="196"/>
      <c r="AQ34" s="196"/>
      <c r="AR34" s="196"/>
      <c r="AS34" s="196"/>
      <c r="AT34" s="195"/>
      <c r="AU34" s="195"/>
      <c r="AV34" s="195"/>
      <c r="AW34" s="195"/>
      <c r="AX34" s="201"/>
      <c r="AY34" s="195"/>
      <c r="AZ34" s="195"/>
      <c r="BA34" s="197"/>
      <c r="BB34" s="195"/>
      <c r="BC34" s="197"/>
      <c r="BD34" s="195"/>
      <c r="BE34" s="197"/>
      <c r="BF34" s="195"/>
      <c r="BG34" s="197"/>
      <c r="BH34" s="195"/>
      <c r="BI34" s="197"/>
      <c r="BJ34" s="195"/>
      <c r="BK34" s="195"/>
      <c r="BL34" s="195"/>
      <c r="BM34" s="195"/>
      <c r="BN34" s="197"/>
    </row>
    <row r="35" spans="1:66" ht="12.95" customHeight="1" x14ac:dyDescent="0.25">
      <c r="A35" s="198" t="str">
        <f>'Antonio J'!B61</f>
        <v>Francia</v>
      </c>
      <c r="B35" s="198" t="str">
        <f>IF('Antonio J'!C61="","",'Antonio J'!C61)</f>
        <v/>
      </c>
      <c r="C35" s="198" t="s">
        <v>24</v>
      </c>
      <c r="D35" s="198" t="str">
        <f>IF('Antonio J'!E61="","",'Antonio J'!E61)</f>
        <v/>
      </c>
      <c r="E35" s="198" t="str">
        <f>'Antonio J'!F61</f>
        <v>Honduras</v>
      </c>
      <c r="F35" s="195"/>
      <c r="G35" s="195" t="str">
        <f>A34</f>
        <v>Suiza</v>
      </c>
      <c r="H35" s="195" t="str">
        <f>IF('Antonio J'!N60="","",'Antonio J'!N60)</f>
        <v/>
      </c>
      <c r="I35" s="195"/>
      <c r="J35" s="202" t="str">
        <f t="array" ref="J35:S38">Obtiene_Datos(A34:E39,G35:H38,A33)</f>
        <v>Suiza</v>
      </c>
      <c r="K35" s="198">
        <v>0</v>
      </c>
      <c r="L35" s="198">
        <v>0</v>
      </c>
      <c r="M35" s="198">
        <v>0</v>
      </c>
      <c r="N35" s="198">
        <v>0</v>
      </c>
      <c r="O35" s="198">
        <v>0</v>
      </c>
      <c r="P35" s="198">
        <v>0</v>
      </c>
      <c r="Q35" s="198">
        <v>0</v>
      </c>
      <c r="R35" s="198">
        <v>0</v>
      </c>
      <c r="S35" s="203">
        <v>5000005000</v>
      </c>
      <c r="T35" s="196"/>
      <c r="U35" s="196"/>
      <c r="V35" s="196"/>
      <c r="W35" s="196"/>
      <c r="X35" s="196"/>
      <c r="Y35" s="196"/>
      <c r="Z35" s="196"/>
      <c r="AA35" s="196"/>
      <c r="AB35" s="196"/>
      <c r="AC35" s="196"/>
      <c r="AD35" s="196"/>
      <c r="AE35" s="196"/>
      <c r="AF35" s="196"/>
      <c r="AG35" s="196"/>
      <c r="AH35" s="196"/>
      <c r="AI35" s="196"/>
      <c r="AJ35" s="196"/>
      <c r="AK35" s="196"/>
      <c r="AL35" s="196"/>
      <c r="AM35" s="196"/>
      <c r="AN35" s="196"/>
      <c r="AO35" s="196"/>
      <c r="AP35" s="196"/>
      <c r="AQ35" s="196"/>
      <c r="AR35" s="196"/>
      <c r="AS35" s="196"/>
      <c r="AT35" s="195"/>
      <c r="AU35" s="195"/>
      <c r="AV35" s="195"/>
      <c r="AW35" s="195"/>
      <c r="AX35" s="201"/>
      <c r="AY35" s="195"/>
      <c r="AZ35" s="195"/>
      <c r="BA35" s="197"/>
      <c r="BB35" s="195"/>
      <c r="BC35" s="197"/>
      <c r="BD35" s="195"/>
      <c r="BE35" s="197"/>
      <c r="BF35" s="195"/>
      <c r="BG35" s="197"/>
      <c r="BH35" s="195"/>
      <c r="BI35" s="197"/>
      <c r="BJ35" s="195"/>
      <c r="BK35" s="195"/>
      <c r="BL35" s="195"/>
      <c r="BM35" s="195"/>
      <c r="BN35" s="197"/>
    </row>
    <row r="36" spans="1:66" ht="12.95" customHeight="1" x14ac:dyDescent="0.25">
      <c r="A36" s="198" t="str">
        <f>'Antonio J'!B62</f>
        <v>Suiza</v>
      </c>
      <c r="B36" s="198" t="str">
        <f>IF('Antonio J'!C62="","",'Antonio J'!C62)</f>
        <v/>
      </c>
      <c r="C36" s="198" t="s">
        <v>24</v>
      </c>
      <c r="D36" s="198" t="str">
        <f>IF('Antonio J'!E62="","",'Antonio J'!E62)</f>
        <v/>
      </c>
      <c r="E36" s="198" t="str">
        <f>'Antonio J'!F62</f>
        <v>Francia</v>
      </c>
      <c r="F36" s="195"/>
      <c r="G36" s="195" t="str">
        <f>E34</f>
        <v>Ecuador</v>
      </c>
      <c r="H36" s="195" t="str">
        <f>IF('Antonio J'!N61="","",'Antonio J'!N61)</f>
        <v/>
      </c>
      <c r="I36" s="195"/>
      <c r="J36" s="202" t="str">
        <v>Ecuador</v>
      </c>
      <c r="K36" s="198">
        <v>0</v>
      </c>
      <c r="L36" s="198">
        <v>0</v>
      </c>
      <c r="M36" s="198">
        <v>0</v>
      </c>
      <c r="N36" s="198">
        <v>0</v>
      </c>
      <c r="O36" s="198">
        <v>0</v>
      </c>
      <c r="P36" s="198">
        <v>0</v>
      </c>
      <c r="Q36" s="198">
        <v>0</v>
      </c>
      <c r="R36" s="198">
        <v>0</v>
      </c>
      <c r="S36" s="203">
        <v>5000005000</v>
      </c>
      <c r="T36" s="196"/>
      <c r="U36" s="196"/>
      <c r="V36" s="196"/>
      <c r="W36" s="196"/>
      <c r="X36" s="196"/>
      <c r="Y36" s="196"/>
      <c r="Z36" s="196"/>
      <c r="AA36" s="196"/>
      <c r="AB36" s="196"/>
      <c r="AC36" s="196"/>
      <c r="AD36" s="196"/>
      <c r="AE36" s="196"/>
      <c r="AF36" s="196"/>
      <c r="AG36" s="196"/>
      <c r="AH36" s="196"/>
      <c r="AI36" s="196"/>
      <c r="AJ36" s="196"/>
      <c r="AK36" s="196"/>
      <c r="AL36" s="196"/>
      <c r="AM36" s="196"/>
      <c r="AN36" s="196"/>
      <c r="AO36" s="196"/>
      <c r="AP36" s="196"/>
      <c r="AQ36" s="196"/>
      <c r="AR36" s="196"/>
      <c r="AS36" s="196"/>
      <c r="AT36" s="195"/>
      <c r="AU36" s="195"/>
      <c r="AV36" s="195"/>
      <c r="AW36" s="195"/>
      <c r="AX36" s="201"/>
      <c r="AY36" s="195"/>
      <c r="AZ36" s="195"/>
      <c r="BA36" s="197"/>
      <c r="BB36" s="195"/>
      <c r="BC36" s="197"/>
      <c r="BD36" s="195"/>
      <c r="BE36" s="197"/>
      <c r="BF36" s="195"/>
      <c r="BG36" s="197"/>
      <c r="BH36" s="195"/>
      <c r="BI36" s="197"/>
      <c r="BJ36" s="195"/>
      <c r="BK36" s="195"/>
      <c r="BL36" s="195"/>
      <c r="BM36" s="195"/>
      <c r="BN36" s="197"/>
    </row>
    <row r="37" spans="1:66" ht="12.95" customHeight="1" x14ac:dyDescent="0.25">
      <c r="A37" s="198" t="str">
        <f>'Antonio J'!B63</f>
        <v>Honduras</v>
      </c>
      <c r="B37" s="198" t="str">
        <f>IF('Antonio J'!C63="","",'Antonio J'!C63)</f>
        <v/>
      </c>
      <c r="C37" s="198" t="s">
        <v>24</v>
      </c>
      <c r="D37" s="198" t="str">
        <f>IF('Antonio J'!E63="","",'Antonio J'!E63)</f>
        <v/>
      </c>
      <c r="E37" s="198" t="str">
        <f>'Antonio J'!F63</f>
        <v>Ecuador</v>
      </c>
      <c r="F37" s="195"/>
      <c r="G37" s="195" t="str">
        <f>A35</f>
        <v>Francia</v>
      </c>
      <c r="H37" s="195" t="str">
        <f>IF('Antonio J'!N62="","",'Antonio J'!N62)</f>
        <v/>
      </c>
      <c r="I37" s="195"/>
      <c r="J37" s="202" t="str">
        <v>Francia</v>
      </c>
      <c r="K37" s="198">
        <v>0</v>
      </c>
      <c r="L37" s="198">
        <v>0</v>
      </c>
      <c r="M37" s="198">
        <v>0</v>
      </c>
      <c r="N37" s="198">
        <v>0</v>
      </c>
      <c r="O37" s="198">
        <v>0</v>
      </c>
      <c r="P37" s="198">
        <v>0</v>
      </c>
      <c r="Q37" s="198">
        <v>0</v>
      </c>
      <c r="R37" s="198">
        <v>0</v>
      </c>
      <c r="S37" s="203">
        <v>5000005000</v>
      </c>
      <c r="T37" s="196"/>
      <c r="U37" s="196"/>
      <c r="V37" s="196"/>
      <c r="W37" s="196"/>
      <c r="X37" s="196"/>
      <c r="Y37" s="196"/>
      <c r="Z37" s="196"/>
      <c r="AA37" s="196"/>
      <c r="AB37" s="196"/>
      <c r="AC37" s="196"/>
      <c r="AD37" s="196"/>
      <c r="AE37" s="196"/>
      <c r="AF37" s="196"/>
      <c r="AG37" s="196"/>
      <c r="AH37" s="196"/>
      <c r="AI37" s="196"/>
      <c r="AJ37" s="196"/>
      <c r="AK37" s="196"/>
      <c r="AL37" s="196"/>
      <c r="AM37" s="196"/>
      <c r="AN37" s="196"/>
      <c r="AO37" s="196"/>
      <c r="AP37" s="196"/>
      <c r="AQ37" s="196"/>
      <c r="AR37" s="196"/>
      <c r="AS37" s="196"/>
      <c r="AT37" s="195"/>
      <c r="AU37" s="195"/>
      <c r="AV37" s="195"/>
      <c r="AW37" s="195"/>
      <c r="AX37" s="201"/>
      <c r="AY37" s="195"/>
      <c r="AZ37" s="195"/>
      <c r="BA37" s="197"/>
      <c r="BB37" s="195"/>
      <c r="BC37" s="197"/>
      <c r="BD37" s="195"/>
      <c r="BE37" s="197"/>
      <c r="BF37" s="195"/>
      <c r="BG37" s="197"/>
      <c r="BH37" s="195"/>
      <c r="BI37" s="197"/>
      <c r="BJ37" s="195"/>
      <c r="BK37" s="195"/>
      <c r="BL37" s="195"/>
      <c r="BM37" s="195"/>
      <c r="BN37" s="197"/>
    </row>
    <row r="38" spans="1:66" ht="12.95" customHeight="1" x14ac:dyDescent="0.25">
      <c r="A38" s="198" t="str">
        <f>'Antonio J'!B64</f>
        <v>Honduras</v>
      </c>
      <c r="B38" s="198" t="str">
        <f>IF('Antonio J'!C64="","",'Antonio J'!C64)</f>
        <v/>
      </c>
      <c r="C38" s="198" t="s">
        <v>24</v>
      </c>
      <c r="D38" s="198" t="str">
        <f>IF('Antonio J'!E64="","",'Antonio J'!E64)</f>
        <v/>
      </c>
      <c r="E38" s="198" t="str">
        <f>'Antonio J'!F64</f>
        <v>Suiza</v>
      </c>
      <c r="F38" s="195"/>
      <c r="G38" s="195" t="str">
        <f>E35</f>
        <v>Honduras</v>
      </c>
      <c r="H38" s="195" t="str">
        <f>IF('Antonio J'!N63="","",'Antonio J'!N63)</f>
        <v/>
      </c>
      <c r="I38" s="195"/>
      <c r="J38" s="202" t="str">
        <v>Honduras</v>
      </c>
      <c r="K38" s="198">
        <v>0</v>
      </c>
      <c r="L38" s="198">
        <v>0</v>
      </c>
      <c r="M38" s="198">
        <v>0</v>
      </c>
      <c r="N38" s="198">
        <v>0</v>
      </c>
      <c r="O38" s="198">
        <v>0</v>
      </c>
      <c r="P38" s="198">
        <v>0</v>
      </c>
      <c r="Q38" s="198">
        <v>0</v>
      </c>
      <c r="R38" s="198">
        <v>0</v>
      </c>
      <c r="S38" s="203">
        <v>5000005000</v>
      </c>
      <c r="T38" s="196"/>
      <c r="U38" s="196"/>
      <c r="V38" s="196"/>
      <c r="W38" s="196"/>
      <c r="X38" s="196"/>
      <c r="Y38" s="196"/>
      <c r="Z38" s="196"/>
      <c r="AA38" s="196"/>
      <c r="AB38" s="196"/>
      <c r="AC38" s="196"/>
      <c r="AD38" s="196"/>
      <c r="AE38" s="196"/>
      <c r="AF38" s="196"/>
      <c r="AG38" s="196"/>
      <c r="AH38" s="196"/>
      <c r="AI38" s="196"/>
      <c r="AJ38" s="196"/>
      <c r="AK38" s="196"/>
      <c r="AL38" s="196"/>
      <c r="AM38" s="196"/>
      <c r="AN38" s="196"/>
      <c r="AO38" s="196"/>
      <c r="AP38" s="196"/>
      <c r="AQ38" s="196"/>
      <c r="AR38" s="196"/>
      <c r="AS38" s="196"/>
      <c r="AT38" s="195"/>
      <c r="AU38" s="195"/>
      <c r="AV38" s="195"/>
      <c r="AW38" s="195"/>
      <c r="AX38" s="201"/>
      <c r="AY38" s="195"/>
      <c r="AZ38" s="195"/>
      <c r="BA38" s="197"/>
      <c r="BB38" s="195"/>
      <c r="BC38" s="197"/>
      <c r="BD38" s="195"/>
      <c r="BE38" s="197"/>
      <c r="BF38" s="195"/>
      <c r="BG38" s="197"/>
      <c r="BH38" s="195"/>
      <c r="BI38" s="197"/>
      <c r="BJ38" s="195"/>
      <c r="BK38" s="195"/>
      <c r="BL38" s="195"/>
      <c r="BM38" s="195"/>
      <c r="BN38" s="197"/>
    </row>
    <row r="39" spans="1:66" ht="12.95" customHeight="1" x14ac:dyDescent="0.25">
      <c r="A39" s="198" t="str">
        <f>'Antonio J'!B65</f>
        <v>Ecuador</v>
      </c>
      <c r="B39" s="198" t="str">
        <f>IF('Antonio J'!C65="","",'Antonio J'!C65)</f>
        <v/>
      </c>
      <c r="C39" s="198" t="s">
        <v>24</v>
      </c>
      <c r="D39" s="198" t="str">
        <f>IF('Antonio J'!E65="","",'Antonio J'!E65)</f>
        <v/>
      </c>
      <c r="E39" s="198" t="str">
        <f>'Antonio J'!F65</f>
        <v>Francia</v>
      </c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205"/>
      <c r="T39" s="196"/>
      <c r="U39" s="196"/>
      <c r="V39" s="196"/>
      <c r="W39" s="196"/>
      <c r="X39" s="196"/>
      <c r="Y39" s="196"/>
      <c r="Z39" s="196"/>
      <c r="AA39" s="196"/>
      <c r="AB39" s="196"/>
      <c r="AC39" s="196"/>
      <c r="AD39" s="196"/>
      <c r="AE39" s="196"/>
      <c r="AF39" s="196"/>
      <c r="AG39" s="196"/>
      <c r="AH39" s="196"/>
      <c r="AI39" s="196"/>
      <c r="AJ39" s="196"/>
      <c r="AK39" s="196"/>
      <c r="AL39" s="196"/>
      <c r="AM39" s="196"/>
      <c r="AN39" s="196"/>
      <c r="AO39" s="196"/>
      <c r="AP39" s="196"/>
      <c r="AQ39" s="196"/>
      <c r="AR39" s="196"/>
      <c r="AS39" s="196"/>
      <c r="AT39" s="195"/>
      <c r="AU39" s="195"/>
      <c r="AV39" s="195"/>
      <c r="AW39" s="195"/>
      <c r="AX39" s="201"/>
      <c r="AY39" s="195"/>
      <c r="AZ39" s="195"/>
      <c r="BA39" s="197"/>
      <c r="BB39" s="195"/>
      <c r="BC39" s="197"/>
      <c r="BD39" s="195"/>
      <c r="BE39" s="197"/>
      <c r="BF39" s="195"/>
      <c r="BG39" s="197"/>
      <c r="BH39" s="195"/>
      <c r="BI39" s="197"/>
      <c r="BJ39" s="195"/>
      <c r="BK39" s="195"/>
      <c r="BL39" s="195"/>
      <c r="BM39" s="195"/>
      <c r="BN39" s="197"/>
    </row>
    <row r="40" spans="1:66" ht="12.95" customHeight="1" x14ac:dyDescent="0.25">
      <c r="A40" s="196"/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6"/>
      <c r="P40" s="196"/>
      <c r="Q40" s="196"/>
      <c r="R40" s="196"/>
      <c r="S40" s="196"/>
      <c r="T40" s="196"/>
      <c r="U40" s="196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6"/>
      <c r="AK40" s="196"/>
      <c r="AL40" s="196"/>
      <c r="AM40" s="196"/>
      <c r="AN40" s="196"/>
      <c r="AO40" s="196"/>
      <c r="AP40" s="196"/>
      <c r="AQ40" s="196"/>
      <c r="AR40" s="196"/>
      <c r="AS40" s="196"/>
      <c r="AT40" s="195"/>
      <c r="AU40" s="195"/>
      <c r="AV40" s="195"/>
      <c r="AW40" s="195"/>
      <c r="AX40" s="201"/>
      <c r="AY40" s="195"/>
      <c r="AZ40" s="195"/>
      <c r="BA40" s="197"/>
      <c r="BB40" s="195"/>
      <c r="BC40" s="197"/>
      <c r="BD40" s="195"/>
      <c r="BE40" s="197"/>
      <c r="BF40" s="195"/>
      <c r="BG40" s="197"/>
      <c r="BH40" s="195"/>
      <c r="BI40" s="197"/>
      <c r="BJ40" s="195"/>
      <c r="BK40" s="195"/>
      <c r="BL40" s="195"/>
      <c r="BM40" s="195"/>
      <c r="BN40" s="197"/>
    </row>
    <row r="41" spans="1:66" ht="12.95" customHeight="1" x14ac:dyDescent="0.25">
      <c r="A41" s="194" t="s">
        <v>8</v>
      </c>
      <c r="B41" s="194"/>
      <c r="C41" s="194"/>
      <c r="D41" s="194"/>
      <c r="E41" s="194"/>
      <c r="F41" s="195"/>
      <c r="G41" s="195"/>
      <c r="H41" s="195"/>
      <c r="I41" s="195"/>
      <c r="J41" s="194" t="s">
        <v>30</v>
      </c>
      <c r="K41" s="194"/>
      <c r="L41" s="194"/>
      <c r="M41" s="194"/>
      <c r="N41" s="194"/>
      <c r="O41" s="194"/>
      <c r="P41" s="194"/>
      <c r="Q41" s="194"/>
      <c r="R41" s="194"/>
      <c r="S41" s="194"/>
      <c r="T41" s="196"/>
      <c r="U41" s="196"/>
      <c r="V41" s="196"/>
      <c r="W41" s="196"/>
      <c r="X41" s="196"/>
      <c r="Y41" s="196"/>
      <c r="Z41" s="196"/>
      <c r="AA41" s="196"/>
      <c r="AB41" s="196"/>
      <c r="AC41" s="196"/>
      <c r="AD41" s="196"/>
      <c r="AE41" s="196"/>
      <c r="AF41" s="196"/>
      <c r="AG41" s="196"/>
      <c r="AH41" s="196"/>
      <c r="AI41" s="196"/>
      <c r="AJ41" s="196"/>
      <c r="AK41" s="196"/>
      <c r="AL41" s="196"/>
      <c r="AM41" s="196"/>
      <c r="AN41" s="196"/>
      <c r="AO41" s="196"/>
      <c r="AP41" s="196"/>
      <c r="AQ41" s="196"/>
      <c r="AR41" s="196"/>
      <c r="AS41" s="196"/>
      <c r="AT41" s="195"/>
      <c r="AU41" s="195"/>
      <c r="AV41" s="195"/>
      <c r="AW41" s="195"/>
      <c r="AX41" s="201"/>
      <c r="AY41" s="195"/>
      <c r="AZ41" s="195"/>
      <c r="BA41" s="197"/>
      <c r="BB41" s="195"/>
      <c r="BC41" s="197"/>
      <c r="BD41" s="195"/>
      <c r="BE41" s="197"/>
      <c r="BF41" s="195"/>
      <c r="BG41" s="197"/>
      <c r="BH41" s="195"/>
      <c r="BI41" s="197"/>
      <c r="BJ41" s="195"/>
      <c r="BK41" s="195"/>
      <c r="BL41" s="195"/>
      <c r="BM41" s="195"/>
      <c r="BN41" s="197"/>
    </row>
    <row r="42" spans="1:66" ht="12.95" customHeight="1" x14ac:dyDescent="0.25">
      <c r="A42" s="198" t="str">
        <f>'Antonio J'!B71</f>
        <v>Argentina</v>
      </c>
      <c r="B42" s="198" t="str">
        <f>IF('Antonio J'!C71="","",'Antonio J'!C71)</f>
        <v/>
      </c>
      <c r="C42" s="198" t="s">
        <v>24</v>
      </c>
      <c r="D42" s="198" t="str">
        <f>IF('Antonio J'!E71="","",'Antonio J'!E71)</f>
        <v/>
      </c>
      <c r="E42" s="198" t="str">
        <f>'Antonio J'!F71</f>
        <v>Bosnia-Herzegovina</v>
      </c>
      <c r="F42" s="195"/>
      <c r="G42" s="194" t="s">
        <v>476</v>
      </c>
      <c r="H42" s="194"/>
      <c r="I42" s="195"/>
      <c r="J42" s="195" t="s">
        <v>464</v>
      </c>
      <c r="K42" s="199" t="s">
        <v>31</v>
      </c>
      <c r="L42" s="199" t="s">
        <v>32</v>
      </c>
      <c r="M42" s="199" t="s">
        <v>33</v>
      </c>
      <c r="N42" s="199" t="s">
        <v>34</v>
      </c>
      <c r="O42" s="199" t="s">
        <v>35</v>
      </c>
      <c r="P42" s="199" t="s">
        <v>36</v>
      </c>
      <c r="Q42" s="199" t="s">
        <v>37</v>
      </c>
      <c r="R42" s="199" t="s">
        <v>38</v>
      </c>
      <c r="S42" s="200" t="s">
        <v>477</v>
      </c>
      <c r="T42" s="196"/>
      <c r="U42" s="196"/>
      <c r="V42" s="196"/>
      <c r="W42" s="196"/>
      <c r="X42" s="196"/>
      <c r="Y42" s="196"/>
      <c r="Z42" s="196"/>
      <c r="AA42" s="196"/>
      <c r="AB42" s="196"/>
      <c r="AC42" s="196"/>
      <c r="AD42" s="196"/>
      <c r="AE42" s="196"/>
      <c r="AF42" s="196"/>
      <c r="AG42" s="196"/>
      <c r="AH42" s="196"/>
      <c r="AI42" s="196"/>
      <c r="AJ42" s="196"/>
      <c r="AK42" s="196"/>
      <c r="AL42" s="196"/>
      <c r="AM42" s="196"/>
      <c r="AN42" s="196"/>
      <c r="AO42" s="196"/>
      <c r="AP42" s="196"/>
      <c r="AQ42" s="196"/>
      <c r="AR42" s="196"/>
      <c r="AS42" s="196"/>
      <c r="AT42" s="195"/>
      <c r="AU42" s="195"/>
      <c r="AV42" s="195"/>
      <c r="AW42" s="195"/>
      <c r="AX42" s="201"/>
      <c r="AY42" s="195"/>
      <c r="AZ42" s="195"/>
      <c r="BA42" s="197"/>
      <c r="BB42" s="195"/>
      <c r="BC42" s="197"/>
      <c r="BD42" s="195"/>
      <c r="BE42" s="197"/>
      <c r="BF42" s="195"/>
      <c r="BG42" s="197"/>
      <c r="BH42" s="195"/>
      <c r="BI42" s="197"/>
      <c r="BJ42" s="195"/>
      <c r="BK42" s="195"/>
      <c r="BL42" s="195"/>
      <c r="BM42" s="195"/>
      <c r="BN42" s="197"/>
    </row>
    <row r="43" spans="1:66" ht="12.95" customHeight="1" x14ac:dyDescent="0.25">
      <c r="A43" s="198" t="str">
        <f>'Antonio J'!B72</f>
        <v>Irán</v>
      </c>
      <c r="B43" s="198" t="str">
        <f>IF('Antonio J'!C72="","",'Antonio J'!C72)</f>
        <v/>
      </c>
      <c r="C43" s="198" t="s">
        <v>24</v>
      </c>
      <c r="D43" s="198" t="str">
        <f>IF('Antonio J'!E72="","",'Antonio J'!E72)</f>
        <v/>
      </c>
      <c r="E43" s="198" t="str">
        <f>'Antonio J'!F72</f>
        <v>Nigeria</v>
      </c>
      <c r="F43" s="195"/>
      <c r="G43" s="195" t="str">
        <f>A42</f>
        <v>Argentina</v>
      </c>
      <c r="H43" s="195" t="str">
        <f>IF('Antonio J'!N71="","",'Antonio J'!N71)</f>
        <v/>
      </c>
      <c r="I43" s="195"/>
      <c r="J43" s="202" t="str">
        <f t="array" ref="J43:S46">Obtiene_Datos(A42:E47,G43:H46,A41)</f>
        <v>Argentina</v>
      </c>
      <c r="K43" s="198">
        <v>0</v>
      </c>
      <c r="L43" s="198">
        <v>0</v>
      </c>
      <c r="M43" s="198">
        <v>0</v>
      </c>
      <c r="N43" s="198">
        <v>0</v>
      </c>
      <c r="O43" s="198">
        <v>0</v>
      </c>
      <c r="P43" s="198">
        <v>0</v>
      </c>
      <c r="Q43" s="198">
        <v>0</v>
      </c>
      <c r="R43" s="198">
        <v>0</v>
      </c>
      <c r="S43" s="203">
        <v>5000005000</v>
      </c>
      <c r="T43" s="196"/>
      <c r="U43" s="196"/>
      <c r="V43" s="196"/>
      <c r="W43" s="196"/>
      <c r="X43" s="196"/>
      <c r="Y43" s="196"/>
      <c r="Z43" s="196"/>
      <c r="AA43" s="196"/>
      <c r="AB43" s="196"/>
      <c r="AC43" s="196"/>
      <c r="AD43" s="196"/>
      <c r="AE43" s="196"/>
      <c r="AF43" s="196"/>
      <c r="AG43" s="196"/>
      <c r="AH43" s="196"/>
      <c r="AI43" s="196"/>
      <c r="AJ43" s="196"/>
      <c r="AK43" s="196"/>
      <c r="AL43" s="196"/>
      <c r="AM43" s="196"/>
      <c r="AN43" s="196"/>
      <c r="AO43" s="196"/>
      <c r="AP43" s="196"/>
      <c r="AQ43" s="196"/>
      <c r="AR43" s="196"/>
      <c r="AS43" s="196"/>
      <c r="AT43" s="195"/>
      <c r="AU43" s="195"/>
      <c r="AV43" s="195"/>
      <c r="AW43" s="195"/>
      <c r="AX43" s="201"/>
      <c r="AY43" s="195"/>
      <c r="AZ43" s="195"/>
      <c r="BA43" s="197"/>
      <c r="BB43" s="195"/>
      <c r="BC43" s="197"/>
      <c r="BD43" s="195"/>
      <c r="BE43" s="197"/>
      <c r="BF43" s="195"/>
      <c r="BG43" s="197"/>
      <c r="BH43" s="195"/>
      <c r="BI43" s="197"/>
      <c r="BJ43" s="195"/>
      <c r="BK43" s="195"/>
      <c r="BL43" s="195"/>
      <c r="BM43" s="195"/>
      <c r="BN43" s="197"/>
    </row>
    <row r="44" spans="1:66" ht="12.95" customHeight="1" x14ac:dyDescent="0.25">
      <c r="A44" s="198" t="str">
        <f>'Antonio J'!B73</f>
        <v>Argentina</v>
      </c>
      <c r="B44" s="198" t="str">
        <f>IF('Antonio J'!C73="","",'Antonio J'!C73)</f>
        <v/>
      </c>
      <c r="C44" s="198" t="s">
        <v>24</v>
      </c>
      <c r="D44" s="198" t="str">
        <f>IF('Antonio J'!E73="","",'Antonio J'!E73)</f>
        <v/>
      </c>
      <c r="E44" s="198" t="str">
        <f>'Antonio J'!F73</f>
        <v>Irán</v>
      </c>
      <c r="F44" s="195"/>
      <c r="G44" s="195" t="str">
        <f>E42</f>
        <v>Bosnia-Herzegovina</v>
      </c>
      <c r="H44" s="195" t="str">
        <f>IF('Antonio J'!N72="","",'Antonio J'!N72)</f>
        <v/>
      </c>
      <c r="I44" s="195"/>
      <c r="J44" s="202" t="str">
        <v>Bosnia-Herzegovina</v>
      </c>
      <c r="K44" s="198">
        <v>0</v>
      </c>
      <c r="L44" s="198">
        <v>0</v>
      </c>
      <c r="M44" s="198">
        <v>0</v>
      </c>
      <c r="N44" s="198">
        <v>0</v>
      </c>
      <c r="O44" s="198">
        <v>0</v>
      </c>
      <c r="P44" s="198">
        <v>0</v>
      </c>
      <c r="Q44" s="198">
        <v>0</v>
      </c>
      <c r="R44" s="198">
        <v>0</v>
      </c>
      <c r="S44" s="203">
        <v>5000005000</v>
      </c>
      <c r="T44" s="196"/>
      <c r="U44" s="196"/>
      <c r="V44" s="196"/>
      <c r="W44" s="196"/>
      <c r="X44" s="196"/>
      <c r="Y44" s="196"/>
      <c r="Z44" s="196"/>
      <c r="AA44" s="196"/>
      <c r="AB44" s="196"/>
      <c r="AC44" s="196"/>
      <c r="AD44" s="196"/>
      <c r="AE44" s="196"/>
      <c r="AF44" s="196"/>
      <c r="AG44" s="196"/>
      <c r="AH44" s="196"/>
      <c r="AI44" s="196"/>
      <c r="AJ44" s="196"/>
      <c r="AK44" s="196"/>
      <c r="AL44" s="196"/>
      <c r="AM44" s="196"/>
      <c r="AN44" s="196"/>
      <c r="AO44" s="196"/>
      <c r="AP44" s="196"/>
      <c r="AQ44" s="196"/>
      <c r="AR44" s="196"/>
      <c r="AS44" s="196"/>
      <c r="AT44" s="195"/>
      <c r="AU44" s="195"/>
      <c r="AV44" s="195"/>
      <c r="AW44" s="195"/>
      <c r="AX44" s="201"/>
      <c r="AY44" s="195"/>
      <c r="AZ44" s="195"/>
      <c r="BA44" s="197"/>
      <c r="BB44" s="195"/>
      <c r="BC44" s="197"/>
      <c r="BD44" s="195"/>
      <c r="BE44" s="197"/>
      <c r="BF44" s="195"/>
      <c r="BG44" s="197"/>
      <c r="BH44" s="195"/>
      <c r="BI44" s="197"/>
      <c r="BJ44" s="195"/>
      <c r="BK44" s="195"/>
      <c r="BL44" s="195"/>
      <c r="BM44" s="195"/>
      <c r="BN44" s="197"/>
    </row>
    <row r="45" spans="1:66" ht="12.95" customHeight="1" x14ac:dyDescent="0.25">
      <c r="A45" s="198" t="str">
        <f>'Antonio J'!B74</f>
        <v>Nigeria</v>
      </c>
      <c r="B45" s="198" t="str">
        <f>IF('Antonio J'!C74="","",'Antonio J'!C74)</f>
        <v/>
      </c>
      <c r="C45" s="198" t="s">
        <v>24</v>
      </c>
      <c r="D45" s="198" t="str">
        <f>IF('Antonio J'!E74="","",'Antonio J'!E74)</f>
        <v/>
      </c>
      <c r="E45" s="198" t="str">
        <f>'Antonio J'!F74</f>
        <v>Bosnia-Herzegovina</v>
      </c>
      <c r="F45" s="195"/>
      <c r="G45" s="195" t="str">
        <f>A43</f>
        <v>Irán</v>
      </c>
      <c r="H45" s="195" t="str">
        <f>IF('Antonio J'!N73="","",'Antonio J'!N73)</f>
        <v/>
      </c>
      <c r="I45" s="195"/>
      <c r="J45" s="202" t="str">
        <v>Irán</v>
      </c>
      <c r="K45" s="198">
        <v>0</v>
      </c>
      <c r="L45" s="198">
        <v>0</v>
      </c>
      <c r="M45" s="198">
        <v>0</v>
      </c>
      <c r="N45" s="198">
        <v>0</v>
      </c>
      <c r="O45" s="198">
        <v>0</v>
      </c>
      <c r="P45" s="198">
        <v>0</v>
      </c>
      <c r="Q45" s="198">
        <v>0</v>
      </c>
      <c r="R45" s="198">
        <v>0</v>
      </c>
      <c r="S45" s="203">
        <v>5000005000</v>
      </c>
      <c r="T45" s="196"/>
      <c r="U45" s="196"/>
      <c r="V45" s="196"/>
      <c r="W45" s="196"/>
      <c r="X45" s="196"/>
      <c r="Y45" s="196"/>
      <c r="Z45" s="196"/>
      <c r="AA45" s="196"/>
      <c r="AB45" s="196"/>
      <c r="AC45" s="196"/>
      <c r="AD45" s="196"/>
      <c r="AE45" s="196"/>
      <c r="AF45" s="196"/>
      <c r="AG45" s="196"/>
      <c r="AH45" s="196"/>
      <c r="AI45" s="196"/>
      <c r="AJ45" s="196"/>
      <c r="AK45" s="196"/>
      <c r="AL45" s="196"/>
      <c r="AM45" s="196"/>
      <c r="AN45" s="196"/>
      <c r="AO45" s="196"/>
      <c r="AP45" s="196"/>
      <c r="AQ45" s="196"/>
      <c r="AR45" s="196"/>
      <c r="AS45" s="196"/>
      <c r="AT45" s="195"/>
      <c r="AU45" s="195"/>
      <c r="AV45" s="195"/>
      <c r="AW45" s="195"/>
      <c r="AX45" s="201"/>
      <c r="AY45" s="195"/>
      <c r="AZ45" s="195"/>
      <c r="BA45" s="197"/>
      <c r="BB45" s="195"/>
      <c r="BC45" s="197"/>
      <c r="BD45" s="195"/>
      <c r="BE45" s="197"/>
      <c r="BF45" s="195"/>
      <c r="BG45" s="197"/>
      <c r="BH45" s="195"/>
      <c r="BI45" s="197"/>
      <c r="BJ45" s="195"/>
      <c r="BK45" s="195"/>
      <c r="BL45" s="195"/>
      <c r="BM45" s="195"/>
      <c r="BN45" s="197"/>
    </row>
    <row r="46" spans="1:66" ht="12.95" customHeight="1" x14ac:dyDescent="0.25">
      <c r="A46" s="198" t="str">
        <f>'Antonio J'!B75</f>
        <v>Nigeria</v>
      </c>
      <c r="B46" s="198" t="str">
        <f>IF('Antonio J'!C75="","",'Antonio J'!C75)</f>
        <v/>
      </c>
      <c r="C46" s="198" t="s">
        <v>24</v>
      </c>
      <c r="D46" s="198" t="str">
        <f>IF('Antonio J'!E75="","",'Antonio J'!E75)</f>
        <v/>
      </c>
      <c r="E46" s="198" t="str">
        <f>'Antonio J'!F75</f>
        <v>Argentina</v>
      </c>
      <c r="F46" s="195"/>
      <c r="G46" s="195" t="str">
        <f>E43</f>
        <v>Nigeria</v>
      </c>
      <c r="H46" s="195" t="str">
        <f>IF('Antonio J'!N74="","",'Antonio J'!N74)</f>
        <v/>
      </c>
      <c r="I46" s="195"/>
      <c r="J46" s="202" t="str">
        <v>Nigeria</v>
      </c>
      <c r="K46" s="198">
        <v>0</v>
      </c>
      <c r="L46" s="198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203">
        <v>5000005000</v>
      </c>
      <c r="T46" s="196"/>
      <c r="U46" s="196"/>
      <c r="V46" s="196"/>
      <c r="W46" s="196"/>
      <c r="X46" s="196"/>
      <c r="Y46" s="196"/>
      <c r="Z46" s="196"/>
      <c r="AA46" s="196"/>
      <c r="AB46" s="196"/>
      <c r="AC46" s="196"/>
      <c r="AD46" s="196"/>
      <c r="AE46" s="196"/>
      <c r="AF46" s="196"/>
      <c r="AG46" s="196"/>
      <c r="AH46" s="196"/>
      <c r="AI46" s="196"/>
      <c r="AJ46" s="196"/>
      <c r="AK46" s="196"/>
      <c r="AL46" s="196"/>
      <c r="AM46" s="196"/>
      <c r="AN46" s="196"/>
      <c r="AO46" s="196"/>
      <c r="AP46" s="196"/>
      <c r="AQ46" s="196"/>
      <c r="AR46" s="196"/>
      <c r="AS46" s="196"/>
      <c r="AT46" s="195"/>
      <c r="AU46" s="195"/>
      <c r="AV46" s="195"/>
      <c r="AW46" s="195"/>
      <c r="AX46" s="201"/>
      <c r="AY46" s="195"/>
      <c r="AZ46" s="195"/>
      <c r="BA46" s="197"/>
      <c r="BB46" s="195"/>
      <c r="BC46" s="197"/>
      <c r="BD46" s="195"/>
      <c r="BE46" s="197"/>
      <c r="BF46" s="195"/>
      <c r="BG46" s="197"/>
      <c r="BH46" s="195"/>
      <c r="BI46" s="197"/>
      <c r="BJ46" s="195"/>
      <c r="BK46" s="195"/>
      <c r="BL46" s="195"/>
      <c r="BM46" s="195"/>
      <c r="BN46" s="197"/>
    </row>
    <row r="47" spans="1:66" ht="12.95" customHeight="1" x14ac:dyDescent="0.25">
      <c r="A47" s="198" t="str">
        <f>'Antonio J'!B76</f>
        <v>Bosnia-Herzegovina</v>
      </c>
      <c r="B47" s="198" t="str">
        <f>IF('Antonio J'!C76="","",'Antonio J'!C76)</f>
        <v/>
      </c>
      <c r="C47" s="198" t="s">
        <v>24</v>
      </c>
      <c r="D47" s="198" t="str">
        <f>IF('Antonio J'!E76="","",'Antonio J'!E76)</f>
        <v/>
      </c>
      <c r="E47" s="198" t="str">
        <f>'Antonio J'!F76</f>
        <v>Irán</v>
      </c>
      <c r="F47" s="195"/>
      <c r="G47" s="195"/>
      <c r="H47" s="195"/>
      <c r="I47" s="195"/>
      <c r="J47" s="195"/>
      <c r="K47" s="195"/>
      <c r="L47" s="195"/>
      <c r="M47" s="195"/>
      <c r="N47" s="195"/>
      <c r="O47" s="195"/>
      <c r="P47" s="195"/>
      <c r="Q47" s="195"/>
      <c r="R47" s="195"/>
      <c r="S47" s="205"/>
      <c r="T47" s="196"/>
      <c r="U47" s="196"/>
      <c r="V47" s="196"/>
      <c r="W47" s="196"/>
      <c r="X47" s="196"/>
      <c r="Y47" s="196"/>
      <c r="Z47" s="196"/>
      <c r="AA47" s="196"/>
      <c r="AB47" s="196"/>
      <c r="AC47" s="196"/>
      <c r="AD47" s="196"/>
      <c r="AE47" s="196"/>
      <c r="AF47" s="196"/>
      <c r="AG47" s="196"/>
      <c r="AH47" s="196"/>
      <c r="AI47" s="196"/>
      <c r="AJ47" s="196"/>
      <c r="AK47" s="196"/>
      <c r="AL47" s="196"/>
      <c r="AM47" s="196"/>
      <c r="AN47" s="196"/>
      <c r="AO47" s="196"/>
      <c r="AP47" s="196"/>
      <c r="AQ47" s="196"/>
      <c r="AR47" s="196"/>
      <c r="AS47" s="196"/>
      <c r="AT47" s="195"/>
      <c r="AU47" s="195"/>
      <c r="AV47" s="195"/>
      <c r="AW47" s="195"/>
      <c r="AX47" s="201"/>
      <c r="AY47" s="195"/>
      <c r="AZ47" s="195"/>
      <c r="BA47" s="197"/>
      <c r="BB47" s="195"/>
      <c r="BC47" s="197"/>
      <c r="BD47" s="195"/>
      <c r="BE47" s="197"/>
      <c r="BF47" s="195"/>
      <c r="BG47" s="197"/>
      <c r="BH47" s="195"/>
      <c r="BI47" s="197"/>
      <c r="BJ47" s="195"/>
      <c r="BK47" s="195"/>
      <c r="BL47" s="195"/>
      <c r="BM47" s="195"/>
      <c r="BN47" s="197"/>
    </row>
    <row r="48" spans="1:66" ht="12.95" customHeight="1" x14ac:dyDescent="0.2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5"/>
      <c r="W48" s="195"/>
      <c r="X48" s="195"/>
      <c r="Y48" s="195"/>
      <c r="Z48" s="195"/>
      <c r="AA48" s="195"/>
      <c r="AB48" s="195"/>
      <c r="AC48" s="195"/>
      <c r="AD48" s="195"/>
      <c r="AE48" s="195"/>
      <c r="AF48" s="195"/>
      <c r="AG48" s="195"/>
      <c r="AH48" s="195"/>
      <c r="AI48" s="195"/>
      <c r="AJ48" s="196"/>
      <c r="AK48" s="196"/>
      <c r="AL48" s="196"/>
      <c r="AM48" s="196"/>
      <c r="AN48" s="196"/>
      <c r="AO48" s="196"/>
      <c r="AP48" s="196"/>
      <c r="AQ48" s="196"/>
      <c r="AR48" s="196"/>
      <c r="AS48" s="196"/>
      <c r="AT48" s="195"/>
      <c r="AU48" s="195"/>
      <c r="AV48" s="195"/>
      <c r="AW48" s="195"/>
      <c r="AX48" s="201"/>
      <c r="AY48" s="195"/>
      <c r="AZ48" s="195"/>
      <c r="BA48" s="197"/>
      <c r="BB48" s="195"/>
      <c r="BC48" s="197"/>
      <c r="BD48" s="195"/>
      <c r="BE48" s="197"/>
      <c r="BF48" s="195"/>
      <c r="BG48" s="197"/>
      <c r="BH48" s="195"/>
      <c r="BI48" s="197"/>
      <c r="BJ48" s="195"/>
      <c r="BK48" s="195"/>
      <c r="BL48" s="195"/>
      <c r="BM48" s="195"/>
      <c r="BN48" s="197"/>
    </row>
    <row r="49" spans="1:66" ht="12.95" customHeight="1" x14ac:dyDescent="0.25">
      <c r="A49" s="194" t="s">
        <v>9</v>
      </c>
      <c r="B49" s="194"/>
      <c r="C49" s="194"/>
      <c r="D49" s="194"/>
      <c r="E49" s="194"/>
      <c r="F49" s="195"/>
      <c r="G49" s="195"/>
      <c r="H49" s="195"/>
      <c r="I49" s="195"/>
      <c r="J49" s="194" t="s">
        <v>30</v>
      </c>
      <c r="K49" s="194"/>
      <c r="L49" s="194"/>
      <c r="M49" s="194"/>
      <c r="N49" s="194"/>
      <c r="O49" s="194"/>
      <c r="P49" s="194"/>
      <c r="Q49" s="194"/>
      <c r="R49" s="194"/>
      <c r="S49" s="194"/>
      <c r="T49" s="196"/>
      <c r="U49" s="196"/>
      <c r="V49" s="196"/>
      <c r="W49" s="196"/>
      <c r="X49" s="196"/>
      <c r="Y49" s="196"/>
      <c r="Z49" s="196"/>
      <c r="AA49" s="196"/>
      <c r="AB49" s="196"/>
      <c r="AC49" s="196"/>
      <c r="AD49" s="196"/>
      <c r="AE49" s="196"/>
      <c r="AF49" s="196"/>
      <c r="AG49" s="196"/>
      <c r="AH49" s="196"/>
      <c r="AI49" s="196"/>
      <c r="AJ49" s="196"/>
      <c r="AK49" s="196"/>
      <c r="AL49" s="196"/>
      <c r="AM49" s="196"/>
      <c r="AN49" s="196"/>
      <c r="AO49" s="196"/>
      <c r="AP49" s="196"/>
      <c r="AQ49" s="196"/>
      <c r="AR49" s="196"/>
      <c r="AS49" s="196"/>
      <c r="AT49" s="195"/>
      <c r="AU49" s="195"/>
      <c r="AV49" s="195"/>
      <c r="AW49" s="195"/>
      <c r="AX49" s="201"/>
      <c r="AY49" s="195"/>
      <c r="AZ49" s="195"/>
      <c r="BA49" s="197"/>
      <c r="BB49" s="195"/>
      <c r="BC49" s="197"/>
      <c r="BD49" s="195"/>
      <c r="BE49" s="197"/>
      <c r="BF49" s="195"/>
      <c r="BG49" s="197"/>
      <c r="BH49" s="195"/>
      <c r="BI49" s="197"/>
      <c r="BJ49" s="195"/>
      <c r="BK49" s="195"/>
      <c r="BL49" s="195"/>
      <c r="BM49" s="195"/>
      <c r="BN49" s="197"/>
    </row>
    <row r="50" spans="1:66" ht="12.95" customHeight="1" x14ac:dyDescent="0.25">
      <c r="A50" s="198" t="str">
        <f>'Antonio J'!B82</f>
        <v>Alemania</v>
      </c>
      <c r="B50" s="198" t="str">
        <f>IF('Antonio J'!C82="","",'Antonio J'!C82)</f>
        <v/>
      </c>
      <c r="C50" s="198" t="s">
        <v>24</v>
      </c>
      <c r="D50" s="198" t="str">
        <f>IF('Antonio J'!E82="","",'Antonio J'!E82)</f>
        <v/>
      </c>
      <c r="E50" s="198" t="str">
        <f>'Antonio J'!F82</f>
        <v>Portugal</v>
      </c>
      <c r="F50" s="195"/>
      <c r="G50" s="194" t="s">
        <v>476</v>
      </c>
      <c r="H50" s="194"/>
      <c r="I50" s="195"/>
      <c r="J50" s="195" t="s">
        <v>464</v>
      </c>
      <c r="K50" s="199" t="s">
        <v>31</v>
      </c>
      <c r="L50" s="199" t="s">
        <v>32</v>
      </c>
      <c r="M50" s="199" t="s">
        <v>33</v>
      </c>
      <c r="N50" s="199" t="s">
        <v>34</v>
      </c>
      <c r="O50" s="199" t="s">
        <v>35</v>
      </c>
      <c r="P50" s="199" t="s">
        <v>36</v>
      </c>
      <c r="Q50" s="199" t="s">
        <v>37</v>
      </c>
      <c r="R50" s="199" t="s">
        <v>38</v>
      </c>
      <c r="S50" s="200" t="s">
        <v>477</v>
      </c>
      <c r="T50" s="196"/>
      <c r="U50" s="196"/>
      <c r="V50" s="196"/>
      <c r="W50" s="196"/>
      <c r="X50" s="196"/>
      <c r="Y50" s="196"/>
      <c r="Z50" s="196"/>
      <c r="AA50" s="196"/>
      <c r="AB50" s="196"/>
      <c r="AC50" s="196"/>
      <c r="AD50" s="196"/>
      <c r="AE50" s="196"/>
      <c r="AF50" s="196"/>
      <c r="AG50" s="196"/>
      <c r="AH50" s="196"/>
      <c r="AI50" s="196"/>
      <c r="AJ50" s="196"/>
      <c r="AK50" s="196"/>
      <c r="AL50" s="196"/>
      <c r="AM50" s="196"/>
      <c r="AN50" s="196"/>
      <c r="AO50" s="196"/>
      <c r="AP50" s="196"/>
      <c r="AQ50" s="196"/>
      <c r="AR50" s="196"/>
      <c r="AS50" s="196"/>
      <c r="AT50" s="195"/>
      <c r="AU50" s="195"/>
      <c r="AV50" s="195"/>
      <c r="AW50" s="195"/>
      <c r="AX50" s="201"/>
      <c r="AY50" s="195"/>
      <c r="AZ50" s="195"/>
      <c r="BA50" s="197"/>
      <c r="BB50" s="195"/>
      <c r="BC50" s="197"/>
      <c r="BD50" s="195"/>
      <c r="BE50" s="197"/>
      <c r="BF50" s="195"/>
      <c r="BG50" s="197"/>
      <c r="BH50" s="195"/>
      <c r="BI50" s="197"/>
      <c r="BJ50" s="195"/>
      <c r="BK50" s="195"/>
      <c r="BL50" s="195"/>
      <c r="BM50" s="195"/>
      <c r="BN50" s="197"/>
    </row>
    <row r="51" spans="1:66" ht="12.95" customHeight="1" x14ac:dyDescent="0.25">
      <c r="A51" s="198" t="str">
        <f>'Antonio J'!B83</f>
        <v>Ghana</v>
      </c>
      <c r="B51" s="198" t="str">
        <f>IF('Antonio J'!C83="","",'Antonio J'!C83)</f>
        <v/>
      </c>
      <c r="C51" s="198" t="s">
        <v>24</v>
      </c>
      <c r="D51" s="198" t="str">
        <f>IF('Antonio J'!E83="","",'Antonio J'!E83)</f>
        <v/>
      </c>
      <c r="E51" s="198" t="str">
        <f>'Antonio J'!F83</f>
        <v>EEUU</v>
      </c>
      <c r="F51" s="195"/>
      <c r="G51" s="195" t="str">
        <f>A50</f>
        <v>Alemania</v>
      </c>
      <c r="H51" s="195" t="str">
        <f>IF('Antonio J'!N82="","",'Antonio J'!N82)</f>
        <v/>
      </c>
      <c r="I51" s="195"/>
      <c r="J51" s="202" t="str">
        <f t="array" ref="J51:S54">Obtiene_Datos(A50:E55,G51:H54,A49)</f>
        <v>Alemania</v>
      </c>
      <c r="K51" s="198">
        <v>0</v>
      </c>
      <c r="L51" s="198">
        <v>0</v>
      </c>
      <c r="M51" s="198">
        <v>0</v>
      </c>
      <c r="N51" s="198">
        <v>0</v>
      </c>
      <c r="O51" s="198">
        <v>0</v>
      </c>
      <c r="P51" s="198">
        <v>0</v>
      </c>
      <c r="Q51" s="198">
        <v>0</v>
      </c>
      <c r="R51" s="198">
        <v>0</v>
      </c>
      <c r="S51" s="203">
        <v>5000005000</v>
      </c>
      <c r="T51" s="196"/>
      <c r="U51" s="196"/>
      <c r="V51" s="196"/>
      <c r="W51" s="196"/>
      <c r="X51" s="196"/>
      <c r="Y51" s="196"/>
      <c r="Z51" s="196"/>
      <c r="AA51" s="196"/>
      <c r="AB51" s="196"/>
      <c r="AC51" s="196"/>
      <c r="AD51" s="196"/>
      <c r="AE51" s="196"/>
      <c r="AF51" s="196"/>
      <c r="AG51" s="196"/>
      <c r="AH51" s="196"/>
      <c r="AI51" s="196"/>
      <c r="AJ51" s="196"/>
      <c r="AK51" s="196"/>
      <c r="AL51" s="196"/>
      <c r="AM51" s="196"/>
      <c r="AN51" s="196"/>
      <c r="AO51" s="196"/>
      <c r="AP51" s="196"/>
      <c r="AQ51" s="196"/>
      <c r="AR51" s="196"/>
      <c r="AS51" s="196"/>
      <c r="AT51" s="195"/>
      <c r="AU51" s="195"/>
      <c r="AV51" s="195"/>
      <c r="AW51" s="195"/>
      <c r="AX51" s="201"/>
      <c r="AY51" s="195"/>
      <c r="AZ51" s="195"/>
      <c r="BA51" s="197"/>
      <c r="BB51" s="195"/>
      <c r="BC51" s="197"/>
      <c r="BD51" s="195"/>
      <c r="BE51" s="197"/>
      <c r="BF51" s="195"/>
      <c r="BG51" s="197"/>
      <c r="BH51" s="195"/>
      <c r="BI51" s="197"/>
      <c r="BJ51" s="195"/>
      <c r="BK51" s="195"/>
      <c r="BL51" s="195"/>
      <c r="BM51" s="195"/>
      <c r="BN51" s="197"/>
    </row>
    <row r="52" spans="1:66" ht="12.95" customHeight="1" x14ac:dyDescent="0.25">
      <c r="A52" s="198" t="str">
        <f>'Antonio J'!B84</f>
        <v>Alemania</v>
      </c>
      <c r="B52" s="198" t="str">
        <f>IF('Antonio J'!C84="","",'Antonio J'!C84)</f>
        <v/>
      </c>
      <c r="C52" s="198" t="s">
        <v>24</v>
      </c>
      <c r="D52" s="198" t="str">
        <f>IF('Antonio J'!E84="","",'Antonio J'!E84)</f>
        <v/>
      </c>
      <c r="E52" s="198" t="str">
        <f>'Antonio J'!F84</f>
        <v>Ghana</v>
      </c>
      <c r="F52" s="195"/>
      <c r="G52" s="195" t="str">
        <f>E50</f>
        <v>Portugal</v>
      </c>
      <c r="H52" s="195" t="str">
        <f>IF('Antonio J'!N83="","",'Antonio J'!N83)</f>
        <v/>
      </c>
      <c r="I52" s="195"/>
      <c r="J52" s="202" t="str">
        <v>Portugal</v>
      </c>
      <c r="K52" s="198">
        <v>0</v>
      </c>
      <c r="L52" s="198">
        <v>0</v>
      </c>
      <c r="M52" s="198">
        <v>0</v>
      </c>
      <c r="N52" s="198">
        <v>0</v>
      </c>
      <c r="O52" s="198">
        <v>0</v>
      </c>
      <c r="P52" s="198">
        <v>0</v>
      </c>
      <c r="Q52" s="198">
        <v>0</v>
      </c>
      <c r="R52" s="198">
        <v>0</v>
      </c>
      <c r="S52" s="203">
        <v>5000005000</v>
      </c>
      <c r="T52" s="196"/>
      <c r="U52" s="196"/>
      <c r="V52" s="196"/>
      <c r="W52" s="196"/>
      <c r="X52" s="196"/>
      <c r="Y52" s="196"/>
      <c r="Z52" s="196"/>
      <c r="AA52" s="196"/>
      <c r="AB52" s="196"/>
      <c r="AC52" s="196"/>
      <c r="AD52" s="196"/>
      <c r="AE52" s="196"/>
      <c r="AF52" s="196"/>
      <c r="AG52" s="196"/>
      <c r="AH52" s="196"/>
      <c r="AI52" s="196"/>
      <c r="AJ52" s="196"/>
      <c r="AK52" s="196"/>
      <c r="AL52" s="196"/>
      <c r="AM52" s="196"/>
      <c r="AN52" s="196"/>
      <c r="AO52" s="196"/>
      <c r="AP52" s="196"/>
      <c r="AQ52" s="196"/>
      <c r="AR52" s="196"/>
      <c r="AS52" s="196"/>
      <c r="AT52" s="195"/>
      <c r="AU52" s="195"/>
      <c r="AV52" s="195"/>
      <c r="AW52" s="195"/>
      <c r="AX52" s="201"/>
      <c r="AY52" s="195"/>
      <c r="AZ52" s="195"/>
      <c r="BA52" s="197"/>
      <c r="BB52" s="195"/>
      <c r="BC52" s="197"/>
      <c r="BD52" s="195"/>
      <c r="BE52" s="197"/>
      <c r="BF52" s="195"/>
      <c r="BG52" s="197"/>
      <c r="BH52" s="195"/>
      <c r="BI52" s="197"/>
      <c r="BJ52" s="195"/>
      <c r="BK52" s="195"/>
      <c r="BL52" s="195"/>
      <c r="BM52" s="195"/>
      <c r="BN52" s="197"/>
    </row>
    <row r="53" spans="1:66" ht="12.95" customHeight="1" x14ac:dyDescent="0.25">
      <c r="A53" s="198" t="str">
        <f>'Antonio J'!B85</f>
        <v>EEUU</v>
      </c>
      <c r="B53" s="198" t="str">
        <f>IF('Antonio J'!C85="","",'Antonio J'!C85)</f>
        <v/>
      </c>
      <c r="C53" s="198" t="s">
        <v>24</v>
      </c>
      <c r="D53" s="198" t="str">
        <f>IF('Antonio J'!E85="","",'Antonio J'!E85)</f>
        <v/>
      </c>
      <c r="E53" s="198" t="str">
        <f>'Antonio J'!F85</f>
        <v>Portugal</v>
      </c>
      <c r="F53" s="195"/>
      <c r="G53" s="195" t="str">
        <f>A51</f>
        <v>Ghana</v>
      </c>
      <c r="H53" s="195" t="str">
        <f>IF('Antonio J'!N84="","",'Antonio J'!N84)</f>
        <v/>
      </c>
      <c r="I53" s="195"/>
      <c r="J53" s="202" t="str">
        <v>Ghana</v>
      </c>
      <c r="K53" s="198">
        <v>0</v>
      </c>
      <c r="L53" s="198">
        <v>0</v>
      </c>
      <c r="M53" s="198">
        <v>0</v>
      </c>
      <c r="N53" s="198">
        <v>0</v>
      </c>
      <c r="O53" s="198">
        <v>0</v>
      </c>
      <c r="P53" s="198">
        <v>0</v>
      </c>
      <c r="Q53" s="198">
        <v>0</v>
      </c>
      <c r="R53" s="198">
        <v>0</v>
      </c>
      <c r="S53" s="203">
        <v>5000005000</v>
      </c>
      <c r="T53" s="196"/>
      <c r="U53" s="196"/>
      <c r="V53" s="196"/>
      <c r="W53" s="196"/>
      <c r="X53" s="196"/>
      <c r="Y53" s="196"/>
      <c r="Z53" s="196"/>
      <c r="AA53" s="196"/>
      <c r="AB53" s="196"/>
      <c r="AC53" s="196"/>
      <c r="AD53" s="196"/>
      <c r="AE53" s="196"/>
      <c r="AF53" s="196"/>
      <c r="AG53" s="196"/>
      <c r="AH53" s="196"/>
      <c r="AI53" s="196"/>
      <c r="AJ53" s="196"/>
      <c r="AK53" s="196"/>
      <c r="AL53" s="196"/>
      <c r="AM53" s="196"/>
      <c r="AN53" s="196"/>
      <c r="AO53" s="196"/>
      <c r="AP53" s="196"/>
      <c r="AQ53" s="196"/>
      <c r="AR53" s="196"/>
      <c r="AS53" s="196"/>
      <c r="AT53" s="195"/>
      <c r="AU53" s="195"/>
      <c r="AV53" s="195"/>
      <c r="AW53" s="195"/>
      <c r="AX53" s="201"/>
      <c r="AY53" s="195"/>
      <c r="AZ53" s="195"/>
      <c r="BA53" s="197"/>
      <c r="BB53" s="195"/>
      <c r="BC53" s="197"/>
      <c r="BD53" s="195"/>
      <c r="BE53" s="197"/>
      <c r="BF53" s="195"/>
      <c r="BG53" s="197"/>
      <c r="BH53" s="195"/>
      <c r="BI53" s="197"/>
      <c r="BJ53" s="195"/>
      <c r="BK53" s="195"/>
      <c r="BL53" s="195"/>
      <c r="BM53" s="195"/>
      <c r="BN53" s="197"/>
    </row>
    <row r="54" spans="1:66" ht="12.95" customHeight="1" x14ac:dyDescent="0.25">
      <c r="A54" s="198" t="str">
        <f>'Antonio J'!B86</f>
        <v>EEUU</v>
      </c>
      <c r="B54" s="198" t="str">
        <f>IF('Antonio J'!C86="","",'Antonio J'!C86)</f>
        <v/>
      </c>
      <c r="C54" s="198" t="s">
        <v>24</v>
      </c>
      <c r="D54" s="198" t="str">
        <f>IF('Antonio J'!E86="","",'Antonio J'!E86)</f>
        <v/>
      </c>
      <c r="E54" s="198" t="str">
        <f>'Antonio J'!F86</f>
        <v>Alemania</v>
      </c>
      <c r="F54" s="195"/>
      <c r="G54" s="195" t="str">
        <f>E51</f>
        <v>EEUU</v>
      </c>
      <c r="H54" s="195" t="str">
        <f>IF('Antonio J'!N85="","",'Antonio J'!N85)</f>
        <v/>
      </c>
      <c r="I54" s="195"/>
      <c r="J54" s="202" t="str">
        <v>EEUU</v>
      </c>
      <c r="K54" s="198">
        <v>0</v>
      </c>
      <c r="L54" s="198">
        <v>0</v>
      </c>
      <c r="M54" s="198">
        <v>0</v>
      </c>
      <c r="N54" s="198">
        <v>0</v>
      </c>
      <c r="O54" s="198">
        <v>0</v>
      </c>
      <c r="P54" s="198">
        <v>0</v>
      </c>
      <c r="Q54" s="198">
        <v>0</v>
      </c>
      <c r="R54" s="198">
        <v>0</v>
      </c>
      <c r="S54" s="203">
        <v>5000005000</v>
      </c>
      <c r="T54" s="196"/>
      <c r="U54" s="196"/>
      <c r="V54" s="196"/>
      <c r="W54" s="196"/>
      <c r="X54" s="196"/>
      <c r="Y54" s="196"/>
      <c r="Z54" s="196"/>
      <c r="AA54" s="196"/>
      <c r="AB54" s="196"/>
      <c r="AC54" s="196"/>
      <c r="AD54" s="196"/>
      <c r="AE54" s="196"/>
      <c r="AF54" s="196"/>
      <c r="AG54" s="196"/>
      <c r="AH54" s="196"/>
      <c r="AI54" s="196"/>
      <c r="AJ54" s="196"/>
      <c r="AK54" s="196"/>
      <c r="AL54" s="196"/>
      <c r="AM54" s="196"/>
      <c r="AN54" s="196"/>
      <c r="AO54" s="196"/>
      <c r="AP54" s="196"/>
      <c r="AQ54" s="196"/>
      <c r="AR54" s="196"/>
      <c r="AS54" s="196"/>
      <c r="AT54" s="195"/>
      <c r="AU54" s="195"/>
      <c r="AV54" s="195"/>
      <c r="AW54" s="195"/>
      <c r="AX54" s="201"/>
      <c r="AY54" s="195"/>
      <c r="AZ54" s="195"/>
      <c r="BA54" s="197"/>
      <c r="BB54" s="195"/>
      <c r="BC54" s="197"/>
      <c r="BD54" s="195"/>
      <c r="BE54" s="197"/>
      <c r="BF54" s="195"/>
      <c r="BG54" s="197"/>
      <c r="BH54" s="195"/>
      <c r="BI54" s="197"/>
      <c r="BJ54" s="195"/>
      <c r="BK54" s="195"/>
      <c r="BL54" s="195"/>
      <c r="BM54" s="195"/>
      <c r="BN54" s="197"/>
    </row>
    <row r="55" spans="1:66" ht="12.95" customHeight="1" x14ac:dyDescent="0.25">
      <c r="A55" s="198" t="str">
        <f>'Antonio J'!B87</f>
        <v>Portugal</v>
      </c>
      <c r="B55" s="198" t="str">
        <f>IF('Antonio J'!C87="","",'Antonio J'!C87)</f>
        <v/>
      </c>
      <c r="C55" s="198" t="s">
        <v>24</v>
      </c>
      <c r="D55" s="198" t="str">
        <f>IF('Antonio J'!E87="","",'Antonio J'!E87)</f>
        <v/>
      </c>
      <c r="E55" s="198" t="str">
        <f>'Antonio J'!F87</f>
        <v>Ghana</v>
      </c>
      <c r="F55" s="195"/>
      <c r="G55" s="195"/>
      <c r="H55" s="195"/>
      <c r="I55" s="195"/>
      <c r="J55" s="195"/>
      <c r="K55" s="195"/>
      <c r="L55" s="195"/>
      <c r="M55" s="195"/>
      <c r="N55" s="195"/>
      <c r="O55" s="195"/>
      <c r="P55" s="195"/>
      <c r="Q55" s="195"/>
      <c r="R55" s="195"/>
      <c r="S55" s="205"/>
      <c r="T55" s="196"/>
      <c r="U55" s="196"/>
      <c r="V55" s="196"/>
      <c r="W55" s="196"/>
      <c r="X55" s="196"/>
      <c r="Y55" s="196"/>
      <c r="Z55" s="196"/>
      <c r="AA55" s="196"/>
      <c r="AB55" s="196"/>
      <c r="AC55" s="196"/>
      <c r="AD55" s="196"/>
      <c r="AE55" s="196"/>
      <c r="AF55" s="196"/>
      <c r="AG55" s="196"/>
      <c r="AH55" s="196"/>
      <c r="AI55" s="196"/>
      <c r="AJ55" s="196"/>
      <c r="AK55" s="196"/>
      <c r="AL55" s="196"/>
      <c r="AM55" s="196"/>
      <c r="AN55" s="196"/>
      <c r="AO55" s="196"/>
      <c r="AP55" s="196"/>
      <c r="AQ55" s="196"/>
      <c r="AR55" s="196"/>
      <c r="AS55" s="196"/>
      <c r="AT55" s="195"/>
      <c r="AU55" s="195"/>
      <c r="AV55" s="195"/>
      <c r="AW55" s="195"/>
      <c r="AX55" s="201"/>
      <c r="AY55" s="195"/>
      <c r="AZ55" s="195"/>
      <c r="BA55" s="197"/>
      <c r="BB55" s="195"/>
      <c r="BC55" s="197"/>
      <c r="BD55" s="195"/>
      <c r="BE55" s="197"/>
      <c r="BF55" s="195"/>
      <c r="BG55" s="197"/>
      <c r="BH55" s="195"/>
      <c r="BI55" s="197"/>
      <c r="BJ55" s="195"/>
      <c r="BK55" s="195"/>
      <c r="BL55" s="195"/>
      <c r="BM55" s="195"/>
      <c r="BN55" s="197"/>
    </row>
    <row r="56" spans="1:66" ht="12.95" customHeight="1" x14ac:dyDescent="0.2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  <c r="S56" s="196"/>
      <c r="T56" s="196"/>
      <c r="U56" s="196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6"/>
      <c r="AK56" s="196"/>
      <c r="AL56" s="196"/>
      <c r="AM56" s="196"/>
      <c r="AN56" s="196"/>
      <c r="AO56" s="196"/>
      <c r="AP56" s="196"/>
      <c r="AQ56" s="196"/>
      <c r="AR56" s="196"/>
      <c r="AS56" s="196"/>
      <c r="AT56" s="195"/>
      <c r="AU56" s="195"/>
      <c r="AV56" s="195"/>
      <c r="AW56" s="195"/>
      <c r="AX56" s="201"/>
      <c r="AY56" s="195"/>
      <c r="AZ56" s="195"/>
      <c r="BA56" s="197"/>
      <c r="BB56" s="195"/>
      <c r="BC56" s="197"/>
      <c r="BD56" s="195"/>
      <c r="BE56" s="197"/>
      <c r="BF56" s="195"/>
      <c r="BG56" s="197"/>
      <c r="BH56" s="195"/>
      <c r="BI56" s="197"/>
      <c r="BJ56" s="195"/>
      <c r="BK56" s="195"/>
      <c r="BL56" s="195"/>
      <c r="BM56" s="195"/>
      <c r="BN56" s="197"/>
    </row>
    <row r="57" spans="1:66" x14ac:dyDescent="0.25">
      <c r="A57" s="194" t="s">
        <v>10</v>
      </c>
      <c r="B57" s="194"/>
      <c r="C57" s="194"/>
      <c r="D57" s="194"/>
      <c r="E57" s="194"/>
      <c r="F57" s="195"/>
      <c r="G57" s="195"/>
      <c r="H57" s="195"/>
      <c r="I57" s="195"/>
      <c r="J57" s="194" t="s">
        <v>30</v>
      </c>
      <c r="K57" s="194"/>
      <c r="L57" s="194"/>
      <c r="M57" s="194"/>
      <c r="N57" s="194"/>
      <c r="O57" s="194"/>
      <c r="P57" s="194"/>
      <c r="Q57" s="194"/>
      <c r="R57" s="194"/>
      <c r="S57" s="194"/>
      <c r="T57" s="196"/>
      <c r="U57" s="196"/>
      <c r="V57" s="196"/>
      <c r="W57" s="196"/>
      <c r="X57" s="196"/>
      <c r="Y57" s="196"/>
      <c r="Z57" s="196"/>
      <c r="AA57" s="196"/>
      <c r="AB57" s="196"/>
      <c r="AC57" s="196"/>
      <c r="AD57" s="196"/>
      <c r="AE57" s="196"/>
      <c r="AF57" s="196"/>
      <c r="AG57" s="196"/>
      <c r="AH57" s="196"/>
      <c r="AI57" s="196"/>
      <c r="AJ57" s="196"/>
      <c r="AK57" s="196"/>
      <c r="AL57" s="196"/>
      <c r="AM57" s="196"/>
      <c r="AN57" s="196"/>
      <c r="AO57" s="196"/>
      <c r="AP57" s="196"/>
      <c r="AQ57" s="196"/>
      <c r="AR57" s="196"/>
      <c r="AS57" s="196"/>
      <c r="AT57" s="195"/>
      <c r="AU57" s="195"/>
      <c r="AV57" s="195"/>
      <c r="AW57" s="195"/>
      <c r="AX57" s="201"/>
      <c r="AY57" s="195"/>
      <c r="AZ57" s="195"/>
      <c r="BA57" s="197"/>
      <c r="BB57" s="195"/>
      <c r="BC57" s="197"/>
      <c r="BD57" s="195"/>
      <c r="BE57" s="197"/>
      <c r="BF57" s="195"/>
      <c r="BG57" s="197"/>
      <c r="BH57" s="195"/>
      <c r="BI57" s="197"/>
      <c r="BJ57" s="195"/>
      <c r="BK57" s="195"/>
      <c r="BL57" s="195"/>
      <c r="BM57" s="195"/>
      <c r="BN57" s="197"/>
    </row>
    <row r="58" spans="1:66" x14ac:dyDescent="0.25">
      <c r="A58" s="198" t="str">
        <f>'Antonio J'!B93</f>
        <v>Bélgica</v>
      </c>
      <c r="B58" s="198" t="str">
        <f>IF('Antonio J'!C93="","",'Antonio J'!C93)</f>
        <v/>
      </c>
      <c r="C58" s="198" t="s">
        <v>24</v>
      </c>
      <c r="D58" s="198" t="str">
        <f>IF('Antonio J'!E93="","",'Antonio J'!E93)</f>
        <v/>
      </c>
      <c r="E58" s="198" t="str">
        <f>'Antonio J'!F93</f>
        <v>Argelia</v>
      </c>
      <c r="F58" s="195"/>
      <c r="G58" s="194" t="s">
        <v>476</v>
      </c>
      <c r="H58" s="194"/>
      <c r="I58" s="195"/>
      <c r="J58" s="195" t="s">
        <v>464</v>
      </c>
      <c r="K58" s="199" t="s">
        <v>31</v>
      </c>
      <c r="L58" s="199" t="s">
        <v>32</v>
      </c>
      <c r="M58" s="199" t="s">
        <v>33</v>
      </c>
      <c r="N58" s="199" t="s">
        <v>34</v>
      </c>
      <c r="O58" s="199" t="s">
        <v>35</v>
      </c>
      <c r="P58" s="199" t="s">
        <v>36</v>
      </c>
      <c r="Q58" s="199" t="s">
        <v>37</v>
      </c>
      <c r="R58" s="199" t="s">
        <v>38</v>
      </c>
      <c r="S58" s="200" t="s">
        <v>477</v>
      </c>
      <c r="T58" s="196"/>
      <c r="U58" s="196"/>
      <c r="V58" s="196"/>
      <c r="W58" s="196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196"/>
      <c r="AJ58" s="196"/>
      <c r="AK58" s="196"/>
      <c r="AL58" s="196"/>
      <c r="AM58" s="196"/>
      <c r="AN58" s="196"/>
      <c r="AO58" s="196"/>
      <c r="AP58" s="196"/>
      <c r="AQ58" s="196"/>
      <c r="AR58" s="196"/>
      <c r="AS58" s="196"/>
      <c r="AT58" s="195"/>
      <c r="AU58" s="195"/>
      <c r="AV58" s="195"/>
      <c r="AW58" s="195"/>
      <c r="AX58" s="201"/>
      <c r="AY58" s="195"/>
      <c r="AZ58" s="195"/>
      <c r="BA58" s="197"/>
      <c r="BB58" s="195"/>
      <c r="BC58" s="197"/>
      <c r="BD58" s="195"/>
      <c r="BE58" s="197"/>
      <c r="BF58" s="195"/>
      <c r="BG58" s="197"/>
      <c r="BH58" s="195"/>
      <c r="BI58" s="197"/>
      <c r="BJ58" s="195"/>
      <c r="BK58" s="195"/>
      <c r="BL58" s="195"/>
      <c r="BM58" s="195"/>
      <c r="BN58" s="197"/>
    </row>
    <row r="59" spans="1:66" x14ac:dyDescent="0.25">
      <c r="A59" s="198" t="str">
        <f>'Antonio J'!B94</f>
        <v>Rusia</v>
      </c>
      <c r="B59" s="198" t="str">
        <f>IF('Antonio J'!C94="","",'Antonio J'!C94)</f>
        <v/>
      </c>
      <c r="C59" s="198" t="s">
        <v>24</v>
      </c>
      <c r="D59" s="198" t="str">
        <f>IF('Antonio J'!E94="","",'Antonio J'!E94)</f>
        <v/>
      </c>
      <c r="E59" s="198" t="str">
        <f>'Antonio J'!F94</f>
        <v>República de Corea</v>
      </c>
      <c r="F59" s="195"/>
      <c r="G59" s="195" t="str">
        <f>A58</f>
        <v>Bélgica</v>
      </c>
      <c r="H59" s="195" t="str">
        <f>IF('Antonio J'!N93="","",'Antonio J'!N93)</f>
        <v/>
      </c>
      <c r="I59" s="195"/>
      <c r="J59" s="202" t="str">
        <f t="array" ref="J59:S62">Obtiene_Datos(A58:E63,G59:H62,A57)</f>
        <v>Bélgica</v>
      </c>
      <c r="K59" s="198">
        <v>0</v>
      </c>
      <c r="L59" s="198">
        <v>0</v>
      </c>
      <c r="M59" s="198">
        <v>0</v>
      </c>
      <c r="N59" s="198">
        <v>0</v>
      </c>
      <c r="O59" s="198">
        <v>0</v>
      </c>
      <c r="P59" s="198">
        <v>0</v>
      </c>
      <c r="Q59" s="198">
        <v>0</v>
      </c>
      <c r="R59" s="198">
        <v>0</v>
      </c>
      <c r="S59" s="203">
        <v>5000005000</v>
      </c>
      <c r="T59" s="196"/>
      <c r="U59" s="196"/>
      <c r="V59" s="196"/>
      <c r="W59" s="196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196"/>
      <c r="AJ59" s="196"/>
      <c r="AK59" s="196"/>
      <c r="AL59" s="196"/>
      <c r="AM59" s="196"/>
      <c r="AN59" s="196"/>
      <c r="AO59" s="196"/>
      <c r="AP59" s="196"/>
      <c r="AQ59" s="196"/>
      <c r="AR59" s="196"/>
      <c r="AS59" s="196"/>
      <c r="AT59" s="195"/>
      <c r="AU59" s="195"/>
      <c r="AV59" s="195"/>
      <c r="AW59" s="195"/>
      <c r="AX59" s="201"/>
      <c r="AY59" s="195"/>
      <c r="AZ59" s="195"/>
      <c r="BA59" s="197"/>
      <c r="BB59" s="195"/>
      <c r="BC59" s="197"/>
      <c r="BD59" s="195"/>
      <c r="BE59" s="197"/>
      <c r="BF59" s="195"/>
      <c r="BG59" s="197"/>
      <c r="BH59" s="195"/>
      <c r="BI59" s="197"/>
      <c r="BJ59" s="195"/>
      <c r="BK59" s="195"/>
      <c r="BL59" s="195"/>
      <c r="BM59" s="195"/>
      <c r="BN59" s="197"/>
    </row>
    <row r="60" spans="1:66" x14ac:dyDescent="0.25">
      <c r="A60" s="198" t="str">
        <f>'Antonio J'!B95</f>
        <v>Bélgica</v>
      </c>
      <c r="B60" s="198" t="str">
        <f>IF('Antonio J'!C95="","",'Antonio J'!C95)</f>
        <v/>
      </c>
      <c r="C60" s="198" t="s">
        <v>24</v>
      </c>
      <c r="D60" s="198" t="str">
        <f>IF('Antonio J'!E95="","",'Antonio J'!E95)</f>
        <v/>
      </c>
      <c r="E60" s="198" t="str">
        <f>'Antonio J'!F95</f>
        <v>Rusia</v>
      </c>
      <c r="F60" s="195"/>
      <c r="G60" s="195" t="str">
        <f>E58</f>
        <v>Argelia</v>
      </c>
      <c r="H60" s="195" t="str">
        <f>IF('Antonio J'!N94="","",'Antonio J'!N94)</f>
        <v/>
      </c>
      <c r="I60" s="195"/>
      <c r="J60" s="202" t="str">
        <v>Argelia</v>
      </c>
      <c r="K60" s="198">
        <v>0</v>
      </c>
      <c r="L60" s="198">
        <v>0</v>
      </c>
      <c r="M60" s="198">
        <v>0</v>
      </c>
      <c r="N60" s="198">
        <v>0</v>
      </c>
      <c r="O60" s="198">
        <v>0</v>
      </c>
      <c r="P60" s="198">
        <v>0</v>
      </c>
      <c r="Q60" s="198">
        <v>0</v>
      </c>
      <c r="R60" s="198">
        <v>0</v>
      </c>
      <c r="S60" s="203">
        <v>5000005000</v>
      </c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  <c r="AJ60" s="196"/>
      <c r="AK60" s="196"/>
      <c r="AL60" s="196"/>
      <c r="AM60" s="196"/>
      <c r="AN60" s="196"/>
      <c r="AO60" s="196"/>
      <c r="AP60" s="196"/>
      <c r="AQ60" s="196"/>
      <c r="AR60" s="196"/>
      <c r="AS60" s="196"/>
      <c r="AT60" s="195"/>
      <c r="AU60" s="195"/>
      <c r="AV60" s="195"/>
      <c r="AW60" s="195"/>
      <c r="AX60" s="201"/>
      <c r="AY60" s="195"/>
      <c r="AZ60" s="195"/>
      <c r="BA60" s="197"/>
      <c r="BB60" s="195"/>
      <c r="BC60" s="197"/>
      <c r="BD60" s="195"/>
      <c r="BE60" s="197"/>
      <c r="BF60" s="195"/>
      <c r="BG60" s="197"/>
      <c r="BH60" s="195"/>
      <c r="BI60" s="197"/>
      <c r="BJ60" s="195"/>
      <c r="BK60" s="195"/>
      <c r="BL60" s="195"/>
      <c r="BM60" s="195"/>
      <c r="BN60" s="197"/>
    </row>
    <row r="61" spans="1:66" x14ac:dyDescent="0.25">
      <c r="A61" s="198" t="str">
        <f>'Antonio J'!B96</f>
        <v>República de Corea</v>
      </c>
      <c r="B61" s="198" t="str">
        <f>IF('Antonio J'!C96="","",'Antonio J'!C96)</f>
        <v/>
      </c>
      <c r="C61" s="198" t="s">
        <v>24</v>
      </c>
      <c r="D61" s="198" t="str">
        <f>IF('Antonio J'!E96="","",'Antonio J'!E96)</f>
        <v/>
      </c>
      <c r="E61" s="198" t="str">
        <f>'Antonio J'!F96</f>
        <v>Argelia</v>
      </c>
      <c r="F61" s="195"/>
      <c r="G61" s="195" t="str">
        <f>A59</f>
        <v>Rusia</v>
      </c>
      <c r="H61" s="195" t="str">
        <f>IF('Antonio J'!N95="","",'Antonio J'!N95)</f>
        <v/>
      </c>
      <c r="I61" s="195"/>
      <c r="J61" s="202" t="str">
        <v>Rusia</v>
      </c>
      <c r="K61" s="198">
        <v>0</v>
      </c>
      <c r="L61" s="198">
        <v>0</v>
      </c>
      <c r="M61" s="198">
        <v>0</v>
      </c>
      <c r="N61" s="198">
        <v>0</v>
      </c>
      <c r="O61" s="198">
        <v>0</v>
      </c>
      <c r="P61" s="198">
        <v>0</v>
      </c>
      <c r="Q61" s="198">
        <v>0</v>
      </c>
      <c r="R61" s="198">
        <v>0</v>
      </c>
      <c r="S61" s="203">
        <v>5000005000</v>
      </c>
      <c r="T61" s="196"/>
      <c r="U61" s="196"/>
      <c r="V61" s="196"/>
      <c r="W61" s="196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196"/>
      <c r="AJ61" s="196"/>
      <c r="AK61" s="196"/>
      <c r="AL61" s="196"/>
      <c r="AM61" s="196"/>
      <c r="AN61" s="196"/>
      <c r="AO61" s="196"/>
      <c r="AP61" s="196"/>
      <c r="AQ61" s="196"/>
      <c r="AR61" s="196"/>
      <c r="AS61" s="196"/>
      <c r="AT61" s="195"/>
      <c r="AU61" s="195"/>
      <c r="AV61" s="195"/>
      <c r="AW61" s="195"/>
      <c r="AX61" s="201"/>
      <c r="AY61" s="195"/>
      <c r="AZ61" s="195"/>
      <c r="BA61" s="197"/>
      <c r="BB61" s="195"/>
      <c r="BC61" s="197"/>
      <c r="BD61" s="195"/>
      <c r="BE61" s="197"/>
      <c r="BF61" s="195"/>
      <c r="BG61" s="197"/>
      <c r="BH61" s="195"/>
      <c r="BI61" s="197"/>
      <c r="BJ61" s="195"/>
      <c r="BK61" s="195"/>
      <c r="BL61" s="195"/>
      <c r="BM61" s="195"/>
      <c r="BN61" s="197"/>
    </row>
    <row r="62" spans="1:66" x14ac:dyDescent="0.25">
      <c r="A62" s="198" t="str">
        <f>'Antonio J'!B97</f>
        <v>República de Corea</v>
      </c>
      <c r="B62" s="198" t="str">
        <f>IF('Antonio J'!C97="","",'Antonio J'!C97)</f>
        <v/>
      </c>
      <c r="C62" s="198" t="s">
        <v>24</v>
      </c>
      <c r="D62" s="198" t="str">
        <f>IF('Antonio J'!E97="","",'Antonio J'!E97)</f>
        <v/>
      </c>
      <c r="E62" s="198" t="str">
        <f>'Antonio J'!F97</f>
        <v>Bélgica</v>
      </c>
      <c r="F62" s="195"/>
      <c r="G62" s="195" t="str">
        <f>E59</f>
        <v>República de Corea</v>
      </c>
      <c r="H62" s="195" t="str">
        <f>IF('Antonio J'!N96="","",'Antonio J'!N96)</f>
        <v/>
      </c>
      <c r="I62" s="195"/>
      <c r="J62" s="202" t="str">
        <v>República de Corea</v>
      </c>
      <c r="K62" s="198">
        <v>0</v>
      </c>
      <c r="L62" s="198">
        <v>0</v>
      </c>
      <c r="M62" s="198">
        <v>0</v>
      </c>
      <c r="N62" s="198">
        <v>0</v>
      </c>
      <c r="O62" s="198">
        <v>0</v>
      </c>
      <c r="P62" s="198">
        <v>0</v>
      </c>
      <c r="Q62" s="198">
        <v>0</v>
      </c>
      <c r="R62" s="198">
        <v>0</v>
      </c>
      <c r="S62" s="203">
        <v>5000005000</v>
      </c>
      <c r="T62" s="196"/>
      <c r="U62" s="196"/>
      <c r="V62" s="196"/>
      <c r="W62" s="196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196"/>
      <c r="AJ62" s="196"/>
      <c r="AK62" s="196"/>
      <c r="AL62" s="196"/>
      <c r="AM62" s="196"/>
      <c r="AN62" s="196"/>
      <c r="AO62" s="196"/>
      <c r="AP62" s="196"/>
      <c r="AQ62" s="196"/>
      <c r="AR62" s="196"/>
      <c r="AS62" s="196"/>
      <c r="AT62" s="195"/>
      <c r="AU62" s="195"/>
      <c r="AV62" s="195"/>
      <c r="AW62" s="195"/>
      <c r="AX62" s="201"/>
      <c r="AY62" s="195"/>
      <c r="AZ62" s="195"/>
      <c r="BA62" s="197"/>
      <c r="BB62" s="195"/>
      <c r="BC62" s="197"/>
      <c r="BD62" s="195"/>
      <c r="BE62" s="197"/>
      <c r="BF62" s="195"/>
      <c r="BG62" s="197"/>
      <c r="BH62" s="195"/>
      <c r="BI62" s="197"/>
      <c r="BJ62" s="195"/>
      <c r="BK62" s="195"/>
      <c r="BL62" s="195"/>
      <c r="BM62" s="195"/>
      <c r="BN62" s="197"/>
    </row>
    <row r="63" spans="1:66" x14ac:dyDescent="0.25">
      <c r="A63" s="198" t="str">
        <f>'Antonio J'!B98</f>
        <v>Argelia</v>
      </c>
      <c r="B63" s="198" t="str">
        <f>IF('Antonio J'!C98="","",'Antonio J'!C98)</f>
        <v/>
      </c>
      <c r="C63" s="198" t="s">
        <v>24</v>
      </c>
      <c r="D63" s="198" t="str">
        <f>IF('Antonio J'!E98="","",'Antonio J'!E98)</f>
        <v/>
      </c>
      <c r="E63" s="198" t="str">
        <f>'Antonio J'!F98</f>
        <v>Rusia</v>
      </c>
      <c r="F63" s="195"/>
      <c r="G63" s="195"/>
      <c r="H63" s="195"/>
      <c r="I63" s="195"/>
      <c r="J63" s="195"/>
      <c r="K63" s="195"/>
      <c r="L63" s="195"/>
      <c r="M63" s="195"/>
      <c r="N63" s="195"/>
      <c r="O63" s="195"/>
      <c r="P63" s="195"/>
      <c r="Q63" s="195"/>
      <c r="R63" s="195"/>
      <c r="S63" s="205"/>
      <c r="T63" s="196"/>
      <c r="U63" s="196"/>
      <c r="V63" s="196"/>
      <c r="W63" s="196"/>
      <c r="X63" s="196"/>
      <c r="Y63" s="196"/>
      <c r="Z63" s="196"/>
      <c r="AA63" s="196"/>
      <c r="AB63" s="196"/>
      <c r="AC63" s="196"/>
      <c r="AD63" s="196"/>
      <c r="AE63" s="196"/>
      <c r="AF63" s="196"/>
      <c r="AG63" s="196"/>
      <c r="AH63" s="196"/>
      <c r="AI63" s="196"/>
      <c r="AJ63" s="196"/>
      <c r="AK63" s="196"/>
      <c r="AL63" s="196"/>
      <c r="AM63" s="196"/>
      <c r="AN63" s="196"/>
      <c r="AO63" s="196"/>
      <c r="AP63" s="196"/>
      <c r="AQ63" s="196"/>
      <c r="AR63" s="196"/>
      <c r="AS63" s="196"/>
      <c r="AT63" s="195"/>
      <c r="AU63" s="195"/>
      <c r="AV63" s="195"/>
      <c r="AW63" s="195"/>
      <c r="AX63" s="201"/>
      <c r="AY63" s="195"/>
      <c r="AZ63" s="195"/>
      <c r="BA63" s="197"/>
      <c r="BB63" s="195"/>
      <c r="BC63" s="197"/>
      <c r="BD63" s="195"/>
      <c r="BE63" s="197"/>
      <c r="BF63" s="195"/>
      <c r="BG63" s="197"/>
      <c r="BH63" s="195"/>
      <c r="BI63" s="197"/>
      <c r="BJ63" s="195"/>
      <c r="BK63" s="195"/>
      <c r="BL63" s="195"/>
      <c r="BM63" s="195"/>
      <c r="BN63" s="197"/>
    </row>
    <row r="64" spans="1:66" x14ac:dyDescent="0.2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  <c r="S64" s="196"/>
      <c r="T64" s="196"/>
      <c r="U64" s="196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6"/>
      <c r="AK64" s="196"/>
      <c r="AL64" s="196"/>
      <c r="AM64" s="196"/>
      <c r="AN64" s="196"/>
      <c r="AO64" s="196"/>
      <c r="AP64" s="196"/>
      <c r="AQ64" s="196"/>
      <c r="AR64" s="196"/>
      <c r="AS64" s="196"/>
      <c r="AT64" s="195"/>
      <c r="AU64" s="195"/>
      <c r="AV64" s="195"/>
      <c r="AW64" s="195"/>
      <c r="AX64" s="201"/>
      <c r="AY64" s="195"/>
      <c r="AZ64" s="195"/>
      <c r="BA64" s="197"/>
      <c r="BB64" s="195"/>
      <c r="BC64" s="197"/>
      <c r="BD64" s="195"/>
      <c r="BE64" s="197"/>
      <c r="BF64" s="195"/>
      <c r="BG64" s="197"/>
      <c r="BH64" s="195"/>
      <c r="BI64" s="197"/>
      <c r="BJ64" s="195"/>
      <c r="BK64" s="195"/>
      <c r="BL64" s="195"/>
      <c r="BM64" s="195"/>
      <c r="BN64" s="197"/>
    </row>
    <row r="65" spans="1:66" x14ac:dyDescent="0.2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  <c r="S65" s="196"/>
      <c r="T65" s="196"/>
      <c r="U65" s="196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6"/>
      <c r="AK65" s="196"/>
      <c r="AL65" s="196"/>
      <c r="AM65" s="196"/>
      <c r="AN65" s="196"/>
      <c r="AO65" s="196"/>
      <c r="AP65" s="196"/>
      <c r="AQ65" s="196"/>
      <c r="AR65" s="196"/>
      <c r="AS65" s="196"/>
      <c r="AT65" s="195"/>
      <c r="AU65" s="195"/>
      <c r="AV65" s="195"/>
      <c r="AW65" s="195"/>
      <c r="AX65" s="201"/>
      <c r="AY65" s="195"/>
      <c r="AZ65" s="195"/>
      <c r="BA65" s="197"/>
      <c r="BB65" s="195"/>
      <c r="BC65" s="197"/>
      <c r="BD65" s="195"/>
      <c r="BE65" s="197"/>
      <c r="BF65" s="195"/>
      <c r="BG65" s="197"/>
      <c r="BH65" s="195"/>
      <c r="BI65" s="197"/>
      <c r="BJ65" s="195"/>
      <c r="BK65" s="195"/>
      <c r="BL65" s="195"/>
      <c r="BM65" s="195"/>
      <c r="BN65" s="197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stadisticas"/>
  <dimension ref="A1:AL60"/>
  <sheetViews>
    <sheetView workbookViewId="0"/>
  </sheetViews>
  <sheetFormatPr defaultColWidth="11.42578125" defaultRowHeight="15" x14ac:dyDescent="0.25"/>
  <cols>
    <col min="1" max="1" width="2.7109375" customWidth="1"/>
    <col min="2" max="2" width="4.7109375" customWidth="1"/>
    <col min="3" max="3" width="3.7109375" customWidth="1"/>
    <col min="4" max="4" width="4.7109375" customWidth="1"/>
    <col min="5" max="5" width="18.7109375" customWidth="1"/>
    <col min="6" max="7" width="5.7109375" customWidth="1"/>
    <col min="8" max="8" width="6.7109375" customWidth="1"/>
    <col min="9" max="9" width="5.7109375" customWidth="1"/>
    <col min="10" max="10" width="6.42578125" customWidth="1"/>
    <col min="11" max="11" width="5.7109375" customWidth="1"/>
    <col min="12" max="12" width="7.7109375" customWidth="1"/>
    <col min="13" max="13" width="5.7109375" customWidth="1"/>
    <col min="14" max="14" width="8.7109375" customWidth="1"/>
    <col min="15" max="15" width="5.7109375" customWidth="1"/>
    <col min="16" max="16" width="7.7109375" customWidth="1"/>
    <col min="17" max="19" width="5.7109375" customWidth="1"/>
    <col min="20" max="20" width="3.7109375" customWidth="1"/>
    <col min="21" max="21" width="4.7109375" customWidth="1"/>
    <col min="22" max="22" width="2.7109375" customWidth="1"/>
    <col min="23" max="23" width="10.7109375" customWidth="1"/>
    <col min="24" max="24" width="9.7109375" customWidth="1"/>
    <col min="25" max="56" width="11.7109375" customWidth="1"/>
  </cols>
  <sheetData>
    <row r="1" spans="1:38" ht="14.1" customHeight="1" thickBot="1" x14ac:dyDescent="0.3">
      <c r="A1" s="206"/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  <c r="AD1" s="206"/>
      <c r="AE1" s="206"/>
      <c r="AF1" s="206"/>
      <c r="AG1" s="206"/>
      <c r="AH1" s="206"/>
      <c r="AI1" s="206"/>
      <c r="AJ1" s="206"/>
      <c r="AK1" s="206"/>
      <c r="AL1" s="206"/>
    </row>
    <row r="2" spans="1:38" ht="20.100000000000001" customHeight="1" thickTop="1" thickBot="1" x14ac:dyDescent="0.3">
      <c r="A2" s="207" t="s">
        <v>468</v>
      </c>
      <c r="B2" s="208"/>
      <c r="C2" s="651" t="s">
        <v>490</v>
      </c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1"/>
      <c r="P2" s="651"/>
      <c r="Q2" s="651"/>
      <c r="R2" s="651"/>
      <c r="S2" s="651"/>
      <c r="T2" s="651"/>
      <c r="U2" s="209"/>
      <c r="V2" s="206"/>
      <c r="W2" s="650" t="s">
        <v>41</v>
      </c>
      <c r="X2" s="650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</row>
    <row r="3" spans="1:38" ht="14.1" customHeight="1" thickTop="1" thickBot="1" x14ac:dyDescent="0.3">
      <c r="A3" s="207">
        <f>MATCH(cFiltro,E4:S4,0)</f>
        <v>5</v>
      </c>
      <c r="B3" s="210"/>
      <c r="C3" s="211"/>
      <c r="D3" s="212"/>
      <c r="E3" s="213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2"/>
      <c r="Q3" s="212"/>
      <c r="R3" s="212"/>
      <c r="S3" s="212"/>
      <c r="T3" s="211"/>
      <c r="U3" s="210"/>
      <c r="V3" s="206"/>
      <c r="W3" s="206"/>
      <c r="X3" s="206"/>
      <c r="Y3" s="206"/>
      <c r="Z3" s="206"/>
      <c r="AA3" s="206"/>
      <c r="AB3" s="206"/>
      <c r="AC3" s="206"/>
      <c r="AD3" s="206"/>
      <c r="AE3" s="206"/>
      <c r="AF3" s="206"/>
      <c r="AG3" s="206"/>
      <c r="AH3" s="206"/>
      <c r="AI3" s="206"/>
      <c r="AJ3" s="206"/>
      <c r="AK3" s="206"/>
      <c r="AL3" s="206"/>
    </row>
    <row r="4" spans="1:38" ht="14.1" customHeight="1" thickBot="1" x14ac:dyDescent="0.3">
      <c r="A4" s="206"/>
      <c r="B4" s="210"/>
      <c r="C4" s="211"/>
      <c r="D4" s="214" t="s">
        <v>491</v>
      </c>
      <c r="E4" s="214" t="s">
        <v>464</v>
      </c>
      <c r="F4" s="214" t="s">
        <v>465</v>
      </c>
      <c r="G4" s="214" t="s">
        <v>466</v>
      </c>
      <c r="H4" s="214" t="s">
        <v>467</v>
      </c>
      <c r="I4" s="214" t="s">
        <v>468</v>
      </c>
      <c r="J4" s="214" t="s">
        <v>469</v>
      </c>
      <c r="K4" s="214" t="s">
        <v>470</v>
      </c>
      <c r="L4" s="214" t="s">
        <v>471</v>
      </c>
      <c r="M4" s="214" t="s">
        <v>492</v>
      </c>
      <c r="N4" s="214" t="s">
        <v>472</v>
      </c>
      <c r="O4" s="214" t="s">
        <v>35</v>
      </c>
      <c r="P4" s="214" t="s">
        <v>473</v>
      </c>
      <c r="Q4" s="214" t="s">
        <v>36</v>
      </c>
      <c r="R4" s="214" t="s">
        <v>474</v>
      </c>
      <c r="S4" s="214" t="s">
        <v>37</v>
      </c>
      <c r="T4" s="211"/>
      <c r="U4" s="210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</row>
    <row r="5" spans="1:38" ht="12.95" customHeight="1" x14ac:dyDescent="0.25">
      <c r="A5" s="206"/>
      <c r="B5" s="210"/>
      <c r="C5" s="211"/>
      <c r="D5" s="215">
        <v>1</v>
      </c>
      <c r="E5" s="216" t="s">
        <v>25</v>
      </c>
      <c r="F5" s="217">
        <v>0</v>
      </c>
      <c r="G5" s="218">
        <v>0</v>
      </c>
      <c r="H5" s="219">
        <v>0</v>
      </c>
      <c r="I5" s="218">
        <v>0</v>
      </c>
      <c r="J5" s="219">
        <v>0</v>
      </c>
      <c r="K5" s="218">
        <v>0</v>
      </c>
      <c r="L5" s="219">
        <v>0</v>
      </c>
      <c r="M5" s="218">
        <v>0</v>
      </c>
      <c r="N5" s="220">
        <v>0</v>
      </c>
      <c r="O5" s="218">
        <v>0</v>
      </c>
      <c r="P5" s="220">
        <v>0</v>
      </c>
      <c r="Q5" s="218">
        <v>0</v>
      </c>
      <c r="R5" s="220">
        <v>0</v>
      </c>
      <c r="S5" s="221">
        <v>0</v>
      </c>
      <c r="T5" s="211"/>
      <c r="U5" s="210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206"/>
      <c r="AH5" s="206"/>
      <c r="AI5" s="206"/>
      <c r="AJ5" s="206"/>
      <c r="AK5" s="206"/>
      <c r="AL5" s="206"/>
    </row>
    <row r="6" spans="1:38" ht="12.95" customHeight="1" x14ac:dyDescent="0.25">
      <c r="A6" s="206"/>
      <c r="B6" s="210"/>
      <c r="C6" s="211"/>
      <c r="D6" s="222">
        <v>2</v>
      </c>
      <c r="E6" s="223" t="s">
        <v>27</v>
      </c>
      <c r="F6" s="224">
        <v>0</v>
      </c>
      <c r="G6" s="225">
        <v>0</v>
      </c>
      <c r="H6" s="226">
        <v>0</v>
      </c>
      <c r="I6" s="225">
        <v>0</v>
      </c>
      <c r="J6" s="226">
        <v>0</v>
      </c>
      <c r="K6" s="225">
        <v>0</v>
      </c>
      <c r="L6" s="226">
        <v>0</v>
      </c>
      <c r="M6" s="225">
        <v>0</v>
      </c>
      <c r="N6" s="227">
        <v>0</v>
      </c>
      <c r="O6" s="225">
        <v>0</v>
      </c>
      <c r="P6" s="227">
        <v>0</v>
      </c>
      <c r="Q6" s="225">
        <v>0</v>
      </c>
      <c r="R6" s="227">
        <v>0</v>
      </c>
      <c r="S6" s="228">
        <v>0</v>
      </c>
      <c r="T6" s="211"/>
      <c r="U6" s="210"/>
      <c r="V6" s="206"/>
      <c r="W6" s="206"/>
      <c r="X6" s="206"/>
      <c r="Y6" s="206"/>
      <c r="Z6" s="206"/>
      <c r="AA6" s="206"/>
      <c r="AB6" s="206"/>
      <c r="AC6" s="206"/>
      <c r="AD6" s="206"/>
      <c r="AE6" s="206"/>
      <c r="AF6" s="206"/>
      <c r="AG6" s="206"/>
      <c r="AH6" s="206"/>
      <c r="AI6" s="206"/>
      <c r="AJ6" s="206"/>
      <c r="AK6" s="206"/>
      <c r="AL6" s="206"/>
    </row>
    <row r="7" spans="1:38" ht="12.95" customHeight="1" x14ac:dyDescent="0.25">
      <c r="A7" s="206"/>
      <c r="B7" s="210"/>
      <c r="C7" s="211"/>
      <c r="D7" s="222">
        <v>3</v>
      </c>
      <c r="E7" s="223" t="s">
        <v>26</v>
      </c>
      <c r="F7" s="224">
        <v>0</v>
      </c>
      <c r="G7" s="225">
        <v>0</v>
      </c>
      <c r="H7" s="226">
        <v>0</v>
      </c>
      <c r="I7" s="225">
        <v>0</v>
      </c>
      <c r="J7" s="226">
        <v>0</v>
      </c>
      <c r="K7" s="225">
        <v>0</v>
      </c>
      <c r="L7" s="226">
        <v>0</v>
      </c>
      <c r="M7" s="225">
        <v>0</v>
      </c>
      <c r="N7" s="227">
        <v>0</v>
      </c>
      <c r="O7" s="225">
        <v>0</v>
      </c>
      <c r="P7" s="227">
        <v>0</v>
      </c>
      <c r="Q7" s="225">
        <v>0</v>
      </c>
      <c r="R7" s="227">
        <v>0</v>
      </c>
      <c r="S7" s="228">
        <v>0</v>
      </c>
      <c r="T7" s="211"/>
      <c r="U7" s="210"/>
      <c r="V7" s="206"/>
      <c r="W7" s="206"/>
      <c r="X7" s="206"/>
      <c r="Y7" s="206"/>
      <c r="Z7" s="206"/>
      <c r="AA7" s="206"/>
      <c r="AB7" s="206"/>
      <c r="AC7" s="206"/>
      <c r="AD7" s="206"/>
      <c r="AE7" s="206"/>
      <c r="AF7" s="206"/>
      <c r="AG7" s="206"/>
      <c r="AH7" s="206"/>
      <c r="AI7" s="206"/>
      <c r="AJ7" s="206"/>
      <c r="AK7" s="206"/>
      <c r="AL7" s="206"/>
    </row>
    <row r="8" spans="1:38" ht="12.95" customHeight="1" x14ac:dyDescent="0.25">
      <c r="A8" s="206"/>
      <c r="B8" s="210"/>
      <c r="C8" s="211"/>
      <c r="D8" s="222">
        <v>4</v>
      </c>
      <c r="E8" s="223" t="s">
        <v>28</v>
      </c>
      <c r="F8" s="224">
        <v>0</v>
      </c>
      <c r="G8" s="225">
        <v>0</v>
      </c>
      <c r="H8" s="226">
        <v>0</v>
      </c>
      <c r="I8" s="225">
        <v>0</v>
      </c>
      <c r="J8" s="226">
        <v>0</v>
      </c>
      <c r="K8" s="225">
        <v>0</v>
      </c>
      <c r="L8" s="226">
        <v>0</v>
      </c>
      <c r="M8" s="225">
        <v>0</v>
      </c>
      <c r="N8" s="227">
        <v>0</v>
      </c>
      <c r="O8" s="225">
        <v>0</v>
      </c>
      <c r="P8" s="227">
        <v>0</v>
      </c>
      <c r="Q8" s="225">
        <v>0</v>
      </c>
      <c r="R8" s="227">
        <v>0</v>
      </c>
      <c r="S8" s="228">
        <v>0</v>
      </c>
      <c r="T8" s="211"/>
      <c r="U8" s="210"/>
      <c r="V8" s="206"/>
      <c r="W8" s="206"/>
      <c r="X8" s="206"/>
      <c r="Y8" s="206"/>
      <c r="Z8" s="206"/>
      <c r="AA8" s="206"/>
      <c r="AB8" s="206"/>
      <c r="AC8" s="206"/>
      <c r="AD8" s="206"/>
      <c r="AE8" s="206"/>
      <c r="AF8" s="206"/>
      <c r="AG8" s="206"/>
      <c r="AH8" s="206"/>
      <c r="AI8" s="206"/>
      <c r="AJ8" s="206"/>
      <c r="AK8" s="206"/>
      <c r="AL8" s="206"/>
    </row>
    <row r="9" spans="1:38" ht="12.95" customHeight="1" x14ac:dyDescent="0.25">
      <c r="A9" s="206"/>
      <c r="B9" s="210"/>
      <c r="C9" s="211"/>
      <c r="D9" s="222">
        <v>5</v>
      </c>
      <c r="E9" s="223" t="s">
        <v>43</v>
      </c>
      <c r="F9" s="224">
        <v>0</v>
      </c>
      <c r="G9" s="225">
        <v>0</v>
      </c>
      <c r="H9" s="226">
        <v>0</v>
      </c>
      <c r="I9" s="225">
        <v>0</v>
      </c>
      <c r="J9" s="226">
        <v>0</v>
      </c>
      <c r="K9" s="225">
        <v>0</v>
      </c>
      <c r="L9" s="226">
        <v>0</v>
      </c>
      <c r="M9" s="225">
        <v>0</v>
      </c>
      <c r="N9" s="227">
        <v>0</v>
      </c>
      <c r="O9" s="225">
        <v>0</v>
      </c>
      <c r="P9" s="227">
        <v>0</v>
      </c>
      <c r="Q9" s="225">
        <v>0</v>
      </c>
      <c r="R9" s="227">
        <v>0</v>
      </c>
      <c r="S9" s="228">
        <v>0</v>
      </c>
      <c r="T9" s="211"/>
      <c r="U9" s="210"/>
      <c r="V9" s="206"/>
      <c r="W9" s="206"/>
      <c r="X9" s="206"/>
      <c r="Y9" s="206"/>
      <c r="Z9" s="206"/>
      <c r="AA9" s="206"/>
      <c r="AB9" s="206"/>
      <c r="AC9" s="206"/>
      <c r="AD9" s="206"/>
      <c r="AE9" s="206"/>
      <c r="AF9" s="206"/>
      <c r="AG9" s="206"/>
      <c r="AH9" s="206"/>
      <c r="AI9" s="206"/>
      <c r="AJ9" s="206"/>
      <c r="AK9" s="206"/>
      <c r="AL9" s="206"/>
    </row>
    <row r="10" spans="1:38" ht="12.95" customHeight="1" x14ac:dyDescent="0.25">
      <c r="A10" s="206"/>
      <c r="B10" s="210"/>
      <c r="C10" s="211"/>
      <c r="D10" s="222">
        <v>6</v>
      </c>
      <c r="E10" s="223" t="s">
        <v>45</v>
      </c>
      <c r="F10" s="224">
        <v>0</v>
      </c>
      <c r="G10" s="225">
        <v>0</v>
      </c>
      <c r="H10" s="226">
        <v>0</v>
      </c>
      <c r="I10" s="225">
        <v>0</v>
      </c>
      <c r="J10" s="226">
        <v>0</v>
      </c>
      <c r="K10" s="225">
        <v>0</v>
      </c>
      <c r="L10" s="226">
        <v>0</v>
      </c>
      <c r="M10" s="225">
        <v>0</v>
      </c>
      <c r="N10" s="227">
        <v>0</v>
      </c>
      <c r="O10" s="225">
        <v>0</v>
      </c>
      <c r="P10" s="227">
        <v>0</v>
      </c>
      <c r="Q10" s="225">
        <v>0</v>
      </c>
      <c r="R10" s="227">
        <v>0</v>
      </c>
      <c r="S10" s="228">
        <v>0</v>
      </c>
      <c r="T10" s="211"/>
      <c r="U10" s="210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</row>
    <row r="11" spans="1:38" ht="12.95" customHeight="1" x14ac:dyDescent="0.25">
      <c r="A11" s="206"/>
      <c r="B11" s="210"/>
      <c r="C11" s="211"/>
      <c r="D11" s="222">
        <v>7</v>
      </c>
      <c r="E11" s="223" t="s">
        <v>44</v>
      </c>
      <c r="F11" s="224">
        <v>0</v>
      </c>
      <c r="G11" s="225">
        <v>0</v>
      </c>
      <c r="H11" s="226">
        <v>0</v>
      </c>
      <c r="I11" s="225">
        <v>0</v>
      </c>
      <c r="J11" s="226">
        <v>0</v>
      </c>
      <c r="K11" s="225">
        <v>0</v>
      </c>
      <c r="L11" s="226">
        <v>0</v>
      </c>
      <c r="M11" s="225">
        <v>0</v>
      </c>
      <c r="N11" s="227">
        <v>0</v>
      </c>
      <c r="O11" s="225">
        <v>0</v>
      </c>
      <c r="P11" s="227">
        <v>0</v>
      </c>
      <c r="Q11" s="225">
        <v>0</v>
      </c>
      <c r="R11" s="227">
        <v>0</v>
      </c>
      <c r="S11" s="228">
        <v>0</v>
      </c>
      <c r="T11" s="211"/>
      <c r="U11" s="210"/>
      <c r="V11" s="206"/>
      <c r="W11" s="206"/>
      <c r="X11" s="206"/>
      <c r="Y11" s="206"/>
      <c r="Z11" s="206"/>
      <c r="AA11" s="206"/>
      <c r="AB11" s="206"/>
      <c r="AC11" s="206"/>
      <c r="AD11" s="206"/>
      <c r="AE11" s="206"/>
      <c r="AF11" s="206"/>
      <c r="AG11" s="206"/>
      <c r="AH11" s="206"/>
      <c r="AI11" s="206"/>
      <c r="AJ11" s="206"/>
      <c r="AK11" s="206"/>
      <c r="AL11" s="206"/>
    </row>
    <row r="12" spans="1:38" ht="12.95" customHeight="1" x14ac:dyDescent="0.25">
      <c r="A12" s="206"/>
      <c r="B12" s="210"/>
      <c r="C12" s="211"/>
      <c r="D12" s="222">
        <v>8</v>
      </c>
      <c r="E12" s="223" t="s">
        <v>46</v>
      </c>
      <c r="F12" s="224">
        <v>0</v>
      </c>
      <c r="G12" s="225">
        <v>0</v>
      </c>
      <c r="H12" s="226">
        <v>0</v>
      </c>
      <c r="I12" s="225">
        <v>0</v>
      </c>
      <c r="J12" s="226">
        <v>0</v>
      </c>
      <c r="K12" s="225">
        <v>0</v>
      </c>
      <c r="L12" s="226">
        <v>0</v>
      </c>
      <c r="M12" s="225">
        <v>0</v>
      </c>
      <c r="N12" s="227">
        <v>0</v>
      </c>
      <c r="O12" s="225">
        <v>0</v>
      </c>
      <c r="P12" s="227">
        <v>0</v>
      </c>
      <c r="Q12" s="225">
        <v>0</v>
      </c>
      <c r="R12" s="227">
        <v>0</v>
      </c>
      <c r="S12" s="228">
        <v>0</v>
      </c>
      <c r="T12" s="211"/>
      <c r="U12" s="210"/>
      <c r="V12" s="206"/>
      <c r="W12" s="206"/>
      <c r="X12" s="206"/>
      <c r="Y12" s="206"/>
      <c r="Z12" s="206"/>
      <c r="AA12" s="206"/>
      <c r="AB12" s="206"/>
      <c r="AC12" s="206"/>
      <c r="AD12" s="206"/>
      <c r="AE12" s="206"/>
      <c r="AF12" s="206"/>
      <c r="AG12" s="206"/>
      <c r="AH12" s="206"/>
      <c r="AI12" s="206"/>
      <c r="AJ12" s="206"/>
      <c r="AK12" s="206"/>
      <c r="AL12" s="206"/>
    </row>
    <row r="13" spans="1:38" ht="12.95" customHeight="1" x14ac:dyDescent="0.25">
      <c r="A13" s="206"/>
      <c r="B13" s="210"/>
      <c r="C13" s="211"/>
      <c r="D13" s="222">
        <v>9</v>
      </c>
      <c r="E13" s="223" t="s">
        <v>49</v>
      </c>
      <c r="F13" s="224">
        <v>0</v>
      </c>
      <c r="G13" s="225">
        <v>0</v>
      </c>
      <c r="H13" s="226">
        <v>0</v>
      </c>
      <c r="I13" s="225">
        <v>0</v>
      </c>
      <c r="J13" s="226">
        <v>0</v>
      </c>
      <c r="K13" s="225">
        <v>0</v>
      </c>
      <c r="L13" s="226">
        <v>0</v>
      </c>
      <c r="M13" s="225">
        <v>0</v>
      </c>
      <c r="N13" s="227">
        <v>0</v>
      </c>
      <c r="O13" s="225">
        <v>0</v>
      </c>
      <c r="P13" s="227">
        <v>0</v>
      </c>
      <c r="Q13" s="225">
        <v>0</v>
      </c>
      <c r="R13" s="227">
        <v>0</v>
      </c>
      <c r="S13" s="228">
        <v>0</v>
      </c>
      <c r="T13" s="211"/>
      <c r="U13" s="210"/>
      <c r="V13" s="206"/>
      <c r="W13" s="206"/>
      <c r="X13" s="206"/>
      <c r="Y13" s="206"/>
      <c r="Z13" s="206"/>
      <c r="AA13" s="206"/>
      <c r="AB13" s="206"/>
      <c r="AC13" s="206"/>
      <c r="AD13" s="206"/>
      <c r="AE13" s="206"/>
      <c r="AF13" s="206"/>
      <c r="AG13" s="206"/>
      <c r="AH13" s="206"/>
      <c r="AI13" s="206"/>
      <c r="AJ13" s="206"/>
      <c r="AK13" s="206"/>
      <c r="AL13" s="206"/>
    </row>
    <row r="14" spans="1:38" ht="12.95" customHeight="1" x14ac:dyDescent="0.25">
      <c r="A14" s="206"/>
      <c r="B14" s="210"/>
      <c r="C14" s="211"/>
      <c r="D14" s="222">
        <v>10</v>
      </c>
      <c r="E14" s="223" t="s">
        <v>51</v>
      </c>
      <c r="F14" s="224">
        <v>0</v>
      </c>
      <c r="G14" s="225">
        <v>0</v>
      </c>
      <c r="H14" s="226">
        <v>0</v>
      </c>
      <c r="I14" s="225">
        <v>0</v>
      </c>
      <c r="J14" s="226">
        <v>0</v>
      </c>
      <c r="K14" s="225">
        <v>0</v>
      </c>
      <c r="L14" s="226">
        <v>0</v>
      </c>
      <c r="M14" s="225">
        <v>0</v>
      </c>
      <c r="N14" s="227">
        <v>0</v>
      </c>
      <c r="O14" s="225">
        <v>0</v>
      </c>
      <c r="P14" s="227">
        <v>0</v>
      </c>
      <c r="Q14" s="225">
        <v>0</v>
      </c>
      <c r="R14" s="227">
        <v>0</v>
      </c>
      <c r="S14" s="228">
        <v>0</v>
      </c>
      <c r="T14" s="211"/>
      <c r="U14" s="210"/>
      <c r="V14" s="206"/>
      <c r="W14" s="206"/>
      <c r="X14" s="206"/>
      <c r="Y14" s="206"/>
      <c r="Z14" s="206"/>
      <c r="AA14" s="206"/>
      <c r="AB14" s="206"/>
      <c r="AC14" s="206"/>
      <c r="AD14" s="206"/>
      <c r="AE14" s="206"/>
      <c r="AF14" s="206"/>
      <c r="AG14" s="206"/>
      <c r="AH14" s="206"/>
      <c r="AI14" s="206"/>
      <c r="AJ14" s="206"/>
      <c r="AK14" s="206"/>
      <c r="AL14" s="206"/>
    </row>
    <row r="15" spans="1:38" ht="12.95" customHeight="1" x14ac:dyDescent="0.25">
      <c r="A15" s="206"/>
      <c r="B15" s="210"/>
      <c r="C15" s="211"/>
      <c r="D15" s="222">
        <v>11</v>
      </c>
      <c r="E15" s="223" t="s">
        <v>50</v>
      </c>
      <c r="F15" s="224">
        <v>0</v>
      </c>
      <c r="G15" s="225">
        <v>0</v>
      </c>
      <c r="H15" s="226">
        <v>0</v>
      </c>
      <c r="I15" s="225">
        <v>0</v>
      </c>
      <c r="J15" s="226">
        <v>0</v>
      </c>
      <c r="K15" s="225">
        <v>0</v>
      </c>
      <c r="L15" s="226">
        <v>0</v>
      </c>
      <c r="M15" s="225">
        <v>0</v>
      </c>
      <c r="N15" s="227">
        <v>0</v>
      </c>
      <c r="O15" s="225">
        <v>0</v>
      </c>
      <c r="P15" s="227">
        <v>0</v>
      </c>
      <c r="Q15" s="225">
        <v>0</v>
      </c>
      <c r="R15" s="227">
        <v>0</v>
      </c>
      <c r="S15" s="228">
        <v>0</v>
      </c>
      <c r="T15" s="211"/>
      <c r="U15" s="210"/>
      <c r="V15" s="206"/>
      <c r="W15" s="206"/>
      <c r="X15" s="206"/>
      <c r="Y15" s="206"/>
      <c r="Z15" s="206"/>
      <c r="AA15" s="206"/>
      <c r="AB15" s="206"/>
      <c r="AC15" s="206"/>
      <c r="AD15" s="206"/>
      <c r="AE15" s="206"/>
      <c r="AF15" s="206"/>
      <c r="AG15" s="206"/>
      <c r="AH15" s="206"/>
      <c r="AI15" s="206"/>
      <c r="AJ15" s="206"/>
      <c r="AK15" s="206"/>
      <c r="AL15" s="206"/>
    </row>
    <row r="16" spans="1:38" ht="12.95" customHeight="1" x14ac:dyDescent="0.25">
      <c r="A16" s="206"/>
      <c r="B16" s="210"/>
      <c r="C16" s="211"/>
      <c r="D16" s="222">
        <v>12</v>
      </c>
      <c r="E16" s="223" t="s">
        <v>52</v>
      </c>
      <c r="F16" s="224">
        <v>0</v>
      </c>
      <c r="G16" s="225">
        <v>0</v>
      </c>
      <c r="H16" s="226">
        <v>0</v>
      </c>
      <c r="I16" s="225">
        <v>0</v>
      </c>
      <c r="J16" s="226">
        <v>0</v>
      </c>
      <c r="K16" s="225">
        <v>0</v>
      </c>
      <c r="L16" s="226">
        <v>0</v>
      </c>
      <c r="M16" s="225">
        <v>0</v>
      </c>
      <c r="N16" s="227">
        <v>0</v>
      </c>
      <c r="O16" s="225">
        <v>0</v>
      </c>
      <c r="P16" s="227">
        <v>0</v>
      </c>
      <c r="Q16" s="225">
        <v>0</v>
      </c>
      <c r="R16" s="227">
        <v>0</v>
      </c>
      <c r="S16" s="228">
        <v>0</v>
      </c>
      <c r="T16" s="211"/>
      <c r="U16" s="210"/>
      <c r="V16" s="206"/>
      <c r="W16" s="206"/>
      <c r="X16" s="206"/>
      <c r="Y16" s="206"/>
      <c r="Z16" s="206"/>
      <c r="AA16" s="206"/>
      <c r="AB16" s="206"/>
      <c r="AC16" s="206"/>
      <c r="AD16" s="206"/>
      <c r="AE16" s="206"/>
      <c r="AF16" s="206"/>
      <c r="AG16" s="206"/>
      <c r="AH16" s="206"/>
      <c r="AI16" s="206"/>
      <c r="AJ16" s="206"/>
      <c r="AK16" s="206"/>
      <c r="AL16" s="206"/>
    </row>
    <row r="17" spans="1:38" ht="12.95" customHeight="1" x14ac:dyDescent="0.25">
      <c r="A17" s="206"/>
      <c r="B17" s="210"/>
      <c r="C17" s="211"/>
      <c r="D17" s="222">
        <v>13</v>
      </c>
      <c r="E17" s="223" t="s">
        <v>54</v>
      </c>
      <c r="F17" s="224">
        <v>0</v>
      </c>
      <c r="G17" s="225">
        <v>0</v>
      </c>
      <c r="H17" s="226">
        <v>0</v>
      </c>
      <c r="I17" s="225">
        <v>0</v>
      </c>
      <c r="J17" s="226">
        <v>0</v>
      </c>
      <c r="K17" s="225">
        <v>0</v>
      </c>
      <c r="L17" s="226">
        <v>0</v>
      </c>
      <c r="M17" s="225">
        <v>0</v>
      </c>
      <c r="N17" s="227">
        <v>0</v>
      </c>
      <c r="O17" s="225">
        <v>0</v>
      </c>
      <c r="P17" s="227">
        <v>0</v>
      </c>
      <c r="Q17" s="225">
        <v>0</v>
      </c>
      <c r="R17" s="227">
        <v>0</v>
      </c>
      <c r="S17" s="228">
        <v>0</v>
      </c>
      <c r="T17" s="211"/>
      <c r="U17" s="210"/>
      <c r="V17" s="206"/>
      <c r="W17" s="206"/>
      <c r="X17" s="206"/>
      <c r="Y17" s="206"/>
      <c r="Z17" s="206"/>
      <c r="AA17" s="206"/>
      <c r="AB17" s="206"/>
      <c r="AC17" s="206"/>
      <c r="AD17" s="206"/>
      <c r="AE17" s="206"/>
      <c r="AF17" s="206"/>
      <c r="AG17" s="206"/>
      <c r="AH17" s="206"/>
      <c r="AI17" s="206"/>
      <c r="AJ17" s="206"/>
      <c r="AK17" s="206"/>
      <c r="AL17" s="206"/>
    </row>
    <row r="18" spans="1:38" ht="12.95" customHeight="1" x14ac:dyDescent="0.25">
      <c r="A18" s="206"/>
      <c r="B18" s="210"/>
      <c r="C18" s="211"/>
      <c r="D18" s="222">
        <v>14</v>
      </c>
      <c r="E18" s="223" t="s">
        <v>56</v>
      </c>
      <c r="F18" s="224">
        <v>0</v>
      </c>
      <c r="G18" s="225">
        <v>0</v>
      </c>
      <c r="H18" s="226">
        <v>0</v>
      </c>
      <c r="I18" s="225">
        <v>0</v>
      </c>
      <c r="J18" s="226">
        <v>0</v>
      </c>
      <c r="K18" s="225">
        <v>0</v>
      </c>
      <c r="L18" s="226">
        <v>0</v>
      </c>
      <c r="M18" s="225">
        <v>0</v>
      </c>
      <c r="N18" s="227">
        <v>0</v>
      </c>
      <c r="O18" s="225">
        <v>0</v>
      </c>
      <c r="P18" s="227">
        <v>0</v>
      </c>
      <c r="Q18" s="225">
        <v>0</v>
      </c>
      <c r="R18" s="227">
        <v>0</v>
      </c>
      <c r="S18" s="228">
        <v>0</v>
      </c>
      <c r="T18" s="211"/>
      <c r="U18" s="210"/>
      <c r="V18" s="206"/>
      <c r="W18" s="206"/>
      <c r="X18" s="206"/>
      <c r="Y18" s="206"/>
      <c r="Z18" s="206"/>
      <c r="AA18" s="206"/>
      <c r="AB18" s="206"/>
      <c r="AC18" s="206"/>
      <c r="AD18" s="206"/>
      <c r="AE18" s="206"/>
      <c r="AF18" s="206"/>
      <c r="AG18" s="206"/>
      <c r="AH18" s="206"/>
      <c r="AI18" s="206"/>
      <c r="AJ18" s="206"/>
      <c r="AK18" s="206"/>
      <c r="AL18" s="206"/>
    </row>
    <row r="19" spans="1:38" ht="12.95" customHeight="1" x14ac:dyDescent="0.25">
      <c r="A19" s="206"/>
      <c r="B19" s="210"/>
      <c r="C19" s="211"/>
      <c r="D19" s="222">
        <v>15</v>
      </c>
      <c r="E19" s="223" t="s">
        <v>55</v>
      </c>
      <c r="F19" s="224">
        <v>0</v>
      </c>
      <c r="G19" s="225">
        <v>0</v>
      </c>
      <c r="H19" s="226">
        <v>0</v>
      </c>
      <c r="I19" s="225">
        <v>0</v>
      </c>
      <c r="J19" s="226">
        <v>0</v>
      </c>
      <c r="K19" s="225">
        <v>0</v>
      </c>
      <c r="L19" s="226">
        <v>0</v>
      </c>
      <c r="M19" s="225">
        <v>0</v>
      </c>
      <c r="N19" s="227">
        <v>0</v>
      </c>
      <c r="O19" s="225">
        <v>0</v>
      </c>
      <c r="P19" s="227">
        <v>0</v>
      </c>
      <c r="Q19" s="225">
        <v>0</v>
      </c>
      <c r="R19" s="227">
        <v>0</v>
      </c>
      <c r="S19" s="228">
        <v>0</v>
      </c>
      <c r="T19" s="211"/>
      <c r="U19" s="210"/>
      <c r="V19" s="206"/>
      <c r="W19" s="206"/>
      <c r="X19" s="206"/>
      <c r="Y19" s="206"/>
      <c r="Z19" s="206"/>
      <c r="AA19" s="206"/>
      <c r="AB19" s="206"/>
      <c r="AC19" s="206"/>
      <c r="AD19" s="206"/>
      <c r="AE19" s="206"/>
      <c r="AF19" s="206"/>
      <c r="AG19" s="206"/>
      <c r="AH19" s="206"/>
      <c r="AI19" s="206"/>
      <c r="AJ19" s="206"/>
      <c r="AK19" s="206"/>
      <c r="AL19" s="206"/>
    </row>
    <row r="20" spans="1:38" ht="12.95" customHeight="1" x14ac:dyDescent="0.25">
      <c r="A20" s="206"/>
      <c r="B20" s="210"/>
      <c r="C20" s="211"/>
      <c r="D20" s="222">
        <v>16</v>
      </c>
      <c r="E20" s="223" t="s">
        <v>57</v>
      </c>
      <c r="F20" s="224">
        <v>0</v>
      </c>
      <c r="G20" s="225">
        <v>0</v>
      </c>
      <c r="H20" s="226">
        <v>0</v>
      </c>
      <c r="I20" s="225">
        <v>0</v>
      </c>
      <c r="J20" s="226">
        <v>0</v>
      </c>
      <c r="K20" s="225">
        <v>0</v>
      </c>
      <c r="L20" s="226">
        <v>0</v>
      </c>
      <c r="M20" s="225">
        <v>0</v>
      </c>
      <c r="N20" s="227">
        <v>0</v>
      </c>
      <c r="O20" s="225">
        <v>0</v>
      </c>
      <c r="P20" s="227">
        <v>0</v>
      </c>
      <c r="Q20" s="225">
        <v>0</v>
      </c>
      <c r="R20" s="227">
        <v>0</v>
      </c>
      <c r="S20" s="228">
        <v>0</v>
      </c>
      <c r="T20" s="211"/>
      <c r="U20" s="210"/>
      <c r="V20" s="206"/>
      <c r="W20" s="206"/>
      <c r="X20" s="206"/>
      <c r="Y20" s="206"/>
      <c r="Z20" s="206"/>
      <c r="AA20" s="206"/>
      <c r="AB20" s="206"/>
      <c r="AC20" s="206"/>
      <c r="AD20" s="206"/>
      <c r="AE20" s="206"/>
      <c r="AF20" s="206"/>
      <c r="AG20" s="206"/>
      <c r="AH20" s="206"/>
      <c r="AI20" s="206"/>
      <c r="AJ20" s="206"/>
      <c r="AK20" s="206"/>
      <c r="AL20" s="206"/>
    </row>
    <row r="21" spans="1:38" ht="12.95" customHeight="1" x14ac:dyDescent="0.25">
      <c r="A21" s="206"/>
      <c r="B21" s="210"/>
      <c r="C21" s="211"/>
      <c r="D21" s="222">
        <v>17</v>
      </c>
      <c r="E21" s="223" t="s">
        <v>59</v>
      </c>
      <c r="F21" s="224">
        <v>0</v>
      </c>
      <c r="G21" s="225">
        <v>0</v>
      </c>
      <c r="H21" s="226">
        <v>0</v>
      </c>
      <c r="I21" s="225">
        <v>0</v>
      </c>
      <c r="J21" s="226">
        <v>0</v>
      </c>
      <c r="K21" s="225">
        <v>0</v>
      </c>
      <c r="L21" s="226">
        <v>0</v>
      </c>
      <c r="M21" s="225">
        <v>0</v>
      </c>
      <c r="N21" s="227">
        <v>0</v>
      </c>
      <c r="O21" s="225">
        <v>0</v>
      </c>
      <c r="P21" s="227">
        <v>0</v>
      </c>
      <c r="Q21" s="225">
        <v>0</v>
      </c>
      <c r="R21" s="227">
        <v>0</v>
      </c>
      <c r="S21" s="228">
        <v>0</v>
      </c>
      <c r="T21" s="211"/>
      <c r="U21" s="210"/>
      <c r="V21" s="206"/>
      <c r="W21" s="206"/>
      <c r="X21" s="206"/>
      <c r="Y21" s="206"/>
      <c r="Z21" s="206"/>
      <c r="AA21" s="206"/>
      <c r="AB21" s="206"/>
      <c r="AC21" s="206"/>
      <c r="AD21" s="206"/>
      <c r="AE21" s="206"/>
      <c r="AF21" s="206"/>
      <c r="AG21" s="206"/>
      <c r="AH21" s="206"/>
      <c r="AI21" s="206"/>
      <c r="AJ21" s="206"/>
      <c r="AK21" s="206"/>
      <c r="AL21" s="206"/>
    </row>
    <row r="22" spans="1:38" ht="12.95" customHeight="1" x14ac:dyDescent="0.25">
      <c r="A22" s="206"/>
      <c r="B22" s="210"/>
      <c r="C22" s="211"/>
      <c r="D22" s="222">
        <v>18</v>
      </c>
      <c r="E22" s="223" t="s">
        <v>60</v>
      </c>
      <c r="F22" s="224">
        <v>0</v>
      </c>
      <c r="G22" s="225">
        <v>0</v>
      </c>
      <c r="H22" s="226">
        <v>0</v>
      </c>
      <c r="I22" s="225">
        <v>0</v>
      </c>
      <c r="J22" s="226">
        <v>0</v>
      </c>
      <c r="K22" s="225">
        <v>0</v>
      </c>
      <c r="L22" s="226">
        <v>0</v>
      </c>
      <c r="M22" s="225">
        <v>0</v>
      </c>
      <c r="N22" s="227">
        <v>0</v>
      </c>
      <c r="O22" s="225">
        <v>0</v>
      </c>
      <c r="P22" s="227">
        <v>0</v>
      </c>
      <c r="Q22" s="225">
        <v>0</v>
      </c>
      <c r="R22" s="227">
        <v>0</v>
      </c>
      <c r="S22" s="228">
        <v>0</v>
      </c>
      <c r="T22" s="211"/>
      <c r="U22" s="210"/>
      <c r="V22" s="206"/>
      <c r="W22" s="206"/>
      <c r="X22" s="206"/>
      <c r="Y22" s="206"/>
      <c r="Z22" s="206"/>
      <c r="AA22" s="206"/>
      <c r="AB22" s="206"/>
      <c r="AC22" s="206"/>
      <c r="AD22" s="206"/>
      <c r="AE22" s="206"/>
      <c r="AF22" s="206"/>
      <c r="AG22" s="206"/>
      <c r="AH22" s="206"/>
      <c r="AI22" s="206"/>
      <c r="AJ22" s="206"/>
      <c r="AK22" s="206"/>
      <c r="AL22" s="206"/>
    </row>
    <row r="23" spans="1:38" ht="12.95" customHeight="1" x14ac:dyDescent="0.25">
      <c r="A23" s="206"/>
      <c r="B23" s="210"/>
      <c r="C23" s="211"/>
      <c r="D23" s="222">
        <v>19</v>
      </c>
      <c r="E23" s="223" t="s">
        <v>62</v>
      </c>
      <c r="F23" s="224">
        <v>0</v>
      </c>
      <c r="G23" s="225">
        <v>0</v>
      </c>
      <c r="H23" s="226">
        <v>0</v>
      </c>
      <c r="I23" s="225">
        <v>0</v>
      </c>
      <c r="J23" s="226">
        <v>0</v>
      </c>
      <c r="K23" s="225">
        <v>0</v>
      </c>
      <c r="L23" s="226">
        <v>0</v>
      </c>
      <c r="M23" s="225">
        <v>0</v>
      </c>
      <c r="N23" s="227">
        <v>0</v>
      </c>
      <c r="O23" s="225">
        <v>0</v>
      </c>
      <c r="P23" s="227">
        <v>0</v>
      </c>
      <c r="Q23" s="225">
        <v>0</v>
      </c>
      <c r="R23" s="227">
        <v>0</v>
      </c>
      <c r="S23" s="228">
        <v>0</v>
      </c>
      <c r="T23" s="211"/>
      <c r="U23" s="210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  <c r="AL23" s="206"/>
    </row>
    <row r="24" spans="1:38" ht="12.95" customHeight="1" x14ac:dyDescent="0.25">
      <c r="A24" s="206"/>
      <c r="B24" s="210"/>
      <c r="C24" s="211"/>
      <c r="D24" s="222">
        <v>20</v>
      </c>
      <c r="E24" s="223" t="s">
        <v>61</v>
      </c>
      <c r="F24" s="224">
        <v>0</v>
      </c>
      <c r="G24" s="225">
        <v>0</v>
      </c>
      <c r="H24" s="226">
        <v>0</v>
      </c>
      <c r="I24" s="225">
        <v>0</v>
      </c>
      <c r="J24" s="226">
        <v>0</v>
      </c>
      <c r="K24" s="225">
        <v>0</v>
      </c>
      <c r="L24" s="226">
        <v>0</v>
      </c>
      <c r="M24" s="225">
        <v>0</v>
      </c>
      <c r="N24" s="227">
        <v>0</v>
      </c>
      <c r="O24" s="225">
        <v>0</v>
      </c>
      <c r="P24" s="227">
        <v>0</v>
      </c>
      <c r="Q24" s="225">
        <v>0</v>
      </c>
      <c r="R24" s="227">
        <v>0</v>
      </c>
      <c r="S24" s="228">
        <v>0</v>
      </c>
      <c r="T24" s="211"/>
      <c r="U24" s="210"/>
      <c r="V24" s="206"/>
      <c r="W24" s="206"/>
      <c r="X24" s="206"/>
      <c r="Y24" s="206"/>
      <c r="Z24" s="206"/>
      <c r="AA24" s="206"/>
      <c r="AB24" s="206"/>
      <c r="AC24" s="206"/>
      <c r="AD24" s="206"/>
      <c r="AE24" s="206"/>
      <c r="AF24" s="206"/>
      <c r="AG24" s="206"/>
      <c r="AH24" s="206"/>
      <c r="AI24" s="206"/>
      <c r="AJ24" s="206"/>
      <c r="AK24" s="206"/>
      <c r="AL24" s="206"/>
    </row>
    <row r="25" spans="1:38" ht="12.95" customHeight="1" x14ac:dyDescent="0.25">
      <c r="A25" s="206"/>
      <c r="B25" s="210"/>
      <c r="C25" s="211"/>
      <c r="D25" s="222">
        <v>21</v>
      </c>
      <c r="E25" s="223" t="s">
        <v>64</v>
      </c>
      <c r="F25" s="224">
        <v>0</v>
      </c>
      <c r="G25" s="225">
        <v>0</v>
      </c>
      <c r="H25" s="226">
        <v>0</v>
      </c>
      <c r="I25" s="225">
        <v>0</v>
      </c>
      <c r="J25" s="226">
        <v>0</v>
      </c>
      <c r="K25" s="225">
        <v>0</v>
      </c>
      <c r="L25" s="226">
        <v>0</v>
      </c>
      <c r="M25" s="225">
        <v>0</v>
      </c>
      <c r="N25" s="227">
        <v>0</v>
      </c>
      <c r="O25" s="225">
        <v>0</v>
      </c>
      <c r="P25" s="227">
        <v>0</v>
      </c>
      <c r="Q25" s="225">
        <v>0</v>
      </c>
      <c r="R25" s="227">
        <v>0</v>
      </c>
      <c r="S25" s="228">
        <v>0</v>
      </c>
      <c r="T25" s="211"/>
      <c r="U25" s="210"/>
      <c r="V25" s="206"/>
      <c r="W25" s="206"/>
      <c r="X25" s="206"/>
      <c r="Y25" s="206"/>
      <c r="Z25" s="206"/>
      <c r="AA25" s="206"/>
      <c r="AB25" s="206"/>
      <c r="AC25" s="206"/>
      <c r="AD25" s="206"/>
      <c r="AE25" s="206"/>
      <c r="AF25" s="206"/>
      <c r="AG25" s="206"/>
      <c r="AH25" s="206"/>
      <c r="AI25" s="206"/>
      <c r="AJ25" s="206"/>
      <c r="AK25" s="206"/>
      <c r="AL25" s="206"/>
    </row>
    <row r="26" spans="1:38" ht="12.95" customHeight="1" x14ac:dyDescent="0.25">
      <c r="A26" s="206"/>
      <c r="B26" s="210"/>
      <c r="C26" s="211"/>
      <c r="D26" s="222">
        <v>22</v>
      </c>
      <c r="E26" s="223" t="s">
        <v>65</v>
      </c>
      <c r="F26" s="224">
        <v>0</v>
      </c>
      <c r="G26" s="225">
        <v>0</v>
      </c>
      <c r="H26" s="226">
        <v>0</v>
      </c>
      <c r="I26" s="225">
        <v>0</v>
      </c>
      <c r="J26" s="226">
        <v>0</v>
      </c>
      <c r="K26" s="225">
        <v>0</v>
      </c>
      <c r="L26" s="226">
        <v>0</v>
      </c>
      <c r="M26" s="225">
        <v>0</v>
      </c>
      <c r="N26" s="227">
        <v>0</v>
      </c>
      <c r="O26" s="225">
        <v>0</v>
      </c>
      <c r="P26" s="227">
        <v>0</v>
      </c>
      <c r="Q26" s="225">
        <v>0</v>
      </c>
      <c r="R26" s="227">
        <v>0</v>
      </c>
      <c r="S26" s="228">
        <v>0</v>
      </c>
      <c r="T26" s="211"/>
      <c r="U26" s="210"/>
      <c r="V26" s="206"/>
      <c r="W26" s="206"/>
      <c r="X26" s="206"/>
      <c r="Y26" s="206"/>
      <c r="Z26" s="206"/>
      <c r="AA26" s="206"/>
      <c r="AB26" s="206"/>
      <c r="AC26" s="206"/>
      <c r="AD26" s="206"/>
      <c r="AE26" s="206"/>
      <c r="AF26" s="206"/>
      <c r="AG26" s="206"/>
      <c r="AH26" s="206"/>
      <c r="AI26" s="206"/>
      <c r="AJ26" s="206"/>
      <c r="AK26" s="206"/>
      <c r="AL26" s="206"/>
    </row>
    <row r="27" spans="1:38" ht="12.95" customHeight="1" x14ac:dyDescent="0.25">
      <c r="A27" s="206"/>
      <c r="B27" s="210"/>
      <c r="C27" s="211"/>
      <c r="D27" s="222">
        <v>23</v>
      </c>
      <c r="E27" s="223" t="s">
        <v>66</v>
      </c>
      <c r="F27" s="224">
        <v>0</v>
      </c>
      <c r="G27" s="225">
        <v>0</v>
      </c>
      <c r="H27" s="226">
        <v>0</v>
      </c>
      <c r="I27" s="225">
        <v>0</v>
      </c>
      <c r="J27" s="226">
        <v>0</v>
      </c>
      <c r="K27" s="225">
        <v>0</v>
      </c>
      <c r="L27" s="226">
        <v>0</v>
      </c>
      <c r="M27" s="225">
        <v>0</v>
      </c>
      <c r="N27" s="227">
        <v>0</v>
      </c>
      <c r="O27" s="225">
        <v>0</v>
      </c>
      <c r="P27" s="227">
        <v>0</v>
      </c>
      <c r="Q27" s="225">
        <v>0</v>
      </c>
      <c r="R27" s="227">
        <v>0</v>
      </c>
      <c r="S27" s="228">
        <v>0</v>
      </c>
      <c r="T27" s="211"/>
      <c r="U27" s="210"/>
      <c r="V27" s="206"/>
      <c r="W27" s="206"/>
      <c r="X27" s="206"/>
      <c r="Y27" s="206"/>
      <c r="Z27" s="206"/>
      <c r="AA27" s="206"/>
      <c r="AB27" s="206"/>
      <c r="AC27" s="206"/>
      <c r="AD27" s="206"/>
      <c r="AE27" s="206"/>
      <c r="AF27" s="206"/>
      <c r="AG27" s="206"/>
      <c r="AH27" s="206"/>
      <c r="AI27" s="206"/>
      <c r="AJ27" s="206"/>
      <c r="AK27" s="206"/>
      <c r="AL27" s="206"/>
    </row>
    <row r="28" spans="1:38" ht="12.95" customHeight="1" x14ac:dyDescent="0.25">
      <c r="A28" s="206"/>
      <c r="B28" s="210"/>
      <c r="C28" s="211"/>
      <c r="D28" s="222">
        <v>24</v>
      </c>
      <c r="E28" s="223" t="s">
        <v>67</v>
      </c>
      <c r="F28" s="224">
        <v>0</v>
      </c>
      <c r="G28" s="225">
        <v>0</v>
      </c>
      <c r="H28" s="226">
        <v>0</v>
      </c>
      <c r="I28" s="225">
        <v>0</v>
      </c>
      <c r="J28" s="226">
        <v>0</v>
      </c>
      <c r="K28" s="225">
        <v>0</v>
      </c>
      <c r="L28" s="226">
        <v>0</v>
      </c>
      <c r="M28" s="225">
        <v>0</v>
      </c>
      <c r="N28" s="227">
        <v>0</v>
      </c>
      <c r="O28" s="225">
        <v>0</v>
      </c>
      <c r="P28" s="227">
        <v>0</v>
      </c>
      <c r="Q28" s="225">
        <v>0</v>
      </c>
      <c r="R28" s="227">
        <v>0</v>
      </c>
      <c r="S28" s="228">
        <v>0</v>
      </c>
      <c r="T28" s="211"/>
      <c r="U28" s="210"/>
      <c r="V28" s="206"/>
      <c r="W28" s="206"/>
      <c r="X28" s="206"/>
      <c r="Y28" s="206"/>
      <c r="Z28" s="206"/>
      <c r="AA28" s="206"/>
      <c r="AB28" s="206"/>
      <c r="AC28" s="206"/>
      <c r="AD28" s="206"/>
      <c r="AE28" s="206"/>
      <c r="AF28" s="206"/>
      <c r="AG28" s="206"/>
      <c r="AH28" s="206"/>
      <c r="AI28" s="206"/>
      <c r="AJ28" s="206"/>
      <c r="AK28" s="206"/>
      <c r="AL28" s="206"/>
    </row>
    <row r="29" spans="1:38" ht="12.95" customHeight="1" x14ac:dyDescent="0.25">
      <c r="A29" s="206"/>
      <c r="B29" s="210"/>
      <c r="C29" s="211"/>
      <c r="D29" s="222">
        <v>25</v>
      </c>
      <c r="E29" s="223" t="s">
        <v>69</v>
      </c>
      <c r="F29" s="224">
        <v>0</v>
      </c>
      <c r="G29" s="225">
        <v>0</v>
      </c>
      <c r="H29" s="226">
        <v>0</v>
      </c>
      <c r="I29" s="225">
        <v>0</v>
      </c>
      <c r="J29" s="226">
        <v>0</v>
      </c>
      <c r="K29" s="225">
        <v>0</v>
      </c>
      <c r="L29" s="226">
        <v>0</v>
      </c>
      <c r="M29" s="225">
        <v>0</v>
      </c>
      <c r="N29" s="227">
        <v>0</v>
      </c>
      <c r="O29" s="225">
        <v>0</v>
      </c>
      <c r="P29" s="227">
        <v>0</v>
      </c>
      <c r="Q29" s="225">
        <v>0</v>
      </c>
      <c r="R29" s="227">
        <v>0</v>
      </c>
      <c r="S29" s="228">
        <v>0</v>
      </c>
      <c r="T29" s="211"/>
      <c r="U29" s="210"/>
      <c r="V29" s="206"/>
      <c r="W29" s="206"/>
      <c r="X29" s="206"/>
      <c r="Y29" s="206"/>
      <c r="Z29" s="206"/>
      <c r="AA29" s="206"/>
      <c r="AB29" s="206"/>
      <c r="AC29" s="206"/>
      <c r="AD29" s="206"/>
      <c r="AE29" s="206"/>
      <c r="AF29" s="206"/>
      <c r="AG29" s="206"/>
      <c r="AH29" s="206"/>
      <c r="AI29" s="206"/>
      <c r="AJ29" s="206"/>
      <c r="AK29" s="206"/>
      <c r="AL29" s="206"/>
    </row>
    <row r="30" spans="1:38" ht="12.95" customHeight="1" x14ac:dyDescent="0.25">
      <c r="A30" s="206"/>
      <c r="B30" s="210"/>
      <c r="C30" s="211"/>
      <c r="D30" s="222">
        <v>26</v>
      </c>
      <c r="E30" s="223" t="s">
        <v>70</v>
      </c>
      <c r="F30" s="224">
        <v>0</v>
      </c>
      <c r="G30" s="225">
        <v>0</v>
      </c>
      <c r="H30" s="226">
        <v>0</v>
      </c>
      <c r="I30" s="225">
        <v>0</v>
      </c>
      <c r="J30" s="226">
        <v>0</v>
      </c>
      <c r="K30" s="225">
        <v>0</v>
      </c>
      <c r="L30" s="226">
        <v>0</v>
      </c>
      <c r="M30" s="225">
        <v>0</v>
      </c>
      <c r="N30" s="227">
        <v>0</v>
      </c>
      <c r="O30" s="225">
        <v>0</v>
      </c>
      <c r="P30" s="227">
        <v>0</v>
      </c>
      <c r="Q30" s="225">
        <v>0</v>
      </c>
      <c r="R30" s="227">
        <v>0</v>
      </c>
      <c r="S30" s="228">
        <v>0</v>
      </c>
      <c r="T30" s="211"/>
      <c r="U30" s="210"/>
      <c r="V30" s="206"/>
      <c r="W30" s="206"/>
      <c r="X30" s="206"/>
      <c r="Y30" s="206"/>
      <c r="Z30" s="206"/>
      <c r="AA30" s="206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</row>
    <row r="31" spans="1:38" ht="12.95" customHeight="1" x14ac:dyDescent="0.25">
      <c r="A31" s="206"/>
      <c r="B31" s="210"/>
      <c r="C31" s="211"/>
      <c r="D31" s="222">
        <v>27</v>
      </c>
      <c r="E31" s="223" t="s">
        <v>71</v>
      </c>
      <c r="F31" s="224">
        <v>0</v>
      </c>
      <c r="G31" s="225">
        <v>0</v>
      </c>
      <c r="H31" s="226">
        <v>0</v>
      </c>
      <c r="I31" s="225">
        <v>0</v>
      </c>
      <c r="J31" s="226">
        <v>0</v>
      </c>
      <c r="K31" s="225">
        <v>0</v>
      </c>
      <c r="L31" s="226">
        <v>0</v>
      </c>
      <c r="M31" s="225">
        <v>0</v>
      </c>
      <c r="N31" s="227">
        <v>0</v>
      </c>
      <c r="O31" s="225">
        <v>0</v>
      </c>
      <c r="P31" s="227">
        <v>0</v>
      </c>
      <c r="Q31" s="225">
        <v>0</v>
      </c>
      <c r="R31" s="227">
        <v>0</v>
      </c>
      <c r="S31" s="228">
        <v>0</v>
      </c>
      <c r="T31" s="211"/>
      <c r="U31" s="210"/>
      <c r="V31" s="206"/>
      <c r="W31" s="206"/>
      <c r="X31" s="206"/>
      <c r="Y31" s="206"/>
      <c r="Z31" s="206"/>
      <c r="AA31" s="206"/>
      <c r="AB31" s="206"/>
      <c r="AC31" s="206"/>
      <c r="AD31" s="206"/>
      <c r="AE31" s="206"/>
      <c r="AF31" s="206"/>
      <c r="AG31" s="206"/>
      <c r="AH31" s="206"/>
      <c r="AI31" s="206"/>
      <c r="AJ31" s="206"/>
      <c r="AK31" s="206"/>
      <c r="AL31" s="206"/>
    </row>
    <row r="32" spans="1:38" ht="12.95" customHeight="1" x14ac:dyDescent="0.25">
      <c r="A32" s="206"/>
      <c r="B32" s="210"/>
      <c r="C32" s="211"/>
      <c r="D32" s="222">
        <v>28</v>
      </c>
      <c r="E32" s="223" t="s">
        <v>72</v>
      </c>
      <c r="F32" s="224">
        <v>0</v>
      </c>
      <c r="G32" s="225">
        <v>0</v>
      </c>
      <c r="H32" s="226">
        <v>0</v>
      </c>
      <c r="I32" s="225">
        <v>0</v>
      </c>
      <c r="J32" s="226">
        <v>0</v>
      </c>
      <c r="K32" s="225">
        <v>0</v>
      </c>
      <c r="L32" s="226">
        <v>0</v>
      </c>
      <c r="M32" s="225">
        <v>0</v>
      </c>
      <c r="N32" s="227">
        <v>0</v>
      </c>
      <c r="O32" s="225">
        <v>0</v>
      </c>
      <c r="P32" s="227">
        <v>0</v>
      </c>
      <c r="Q32" s="225">
        <v>0</v>
      </c>
      <c r="R32" s="227">
        <v>0</v>
      </c>
      <c r="S32" s="228">
        <v>0</v>
      </c>
      <c r="T32" s="211"/>
      <c r="U32" s="210"/>
      <c r="V32" s="206"/>
      <c r="W32" s="206"/>
      <c r="X32" s="206"/>
      <c r="Y32" s="206"/>
      <c r="Z32" s="206"/>
      <c r="AA32" s="206"/>
      <c r="AB32" s="206"/>
      <c r="AC32" s="206"/>
      <c r="AD32" s="206"/>
      <c r="AE32" s="206"/>
      <c r="AF32" s="206"/>
      <c r="AG32" s="206"/>
      <c r="AH32" s="206"/>
      <c r="AI32" s="206"/>
      <c r="AJ32" s="206"/>
      <c r="AK32" s="206"/>
      <c r="AL32" s="206"/>
    </row>
    <row r="33" spans="1:38" ht="12.95" customHeight="1" x14ac:dyDescent="0.25">
      <c r="A33" s="206"/>
      <c r="B33" s="210"/>
      <c r="C33" s="211"/>
      <c r="D33" s="222">
        <v>29</v>
      </c>
      <c r="E33" s="223" t="s">
        <v>74</v>
      </c>
      <c r="F33" s="224">
        <v>0</v>
      </c>
      <c r="G33" s="225">
        <v>0</v>
      </c>
      <c r="H33" s="226">
        <v>0</v>
      </c>
      <c r="I33" s="225">
        <v>0</v>
      </c>
      <c r="J33" s="226">
        <v>0</v>
      </c>
      <c r="K33" s="225">
        <v>0</v>
      </c>
      <c r="L33" s="226">
        <v>0</v>
      </c>
      <c r="M33" s="225">
        <v>0</v>
      </c>
      <c r="N33" s="227">
        <v>0</v>
      </c>
      <c r="O33" s="225">
        <v>0</v>
      </c>
      <c r="P33" s="227">
        <v>0</v>
      </c>
      <c r="Q33" s="225">
        <v>0</v>
      </c>
      <c r="R33" s="227">
        <v>0</v>
      </c>
      <c r="S33" s="228">
        <v>0</v>
      </c>
      <c r="T33" s="211"/>
      <c r="U33" s="210"/>
      <c r="V33" s="206"/>
      <c r="W33" s="206"/>
      <c r="X33" s="206"/>
      <c r="Y33" s="206"/>
      <c r="Z33" s="206"/>
      <c r="AA33" s="206"/>
      <c r="AB33" s="206"/>
      <c r="AC33" s="206"/>
      <c r="AD33" s="206"/>
      <c r="AE33" s="206"/>
      <c r="AF33" s="206"/>
      <c r="AG33" s="206"/>
      <c r="AH33" s="206"/>
      <c r="AI33" s="206"/>
      <c r="AJ33" s="206"/>
      <c r="AK33" s="206"/>
      <c r="AL33" s="206"/>
    </row>
    <row r="34" spans="1:38" ht="12.95" customHeight="1" x14ac:dyDescent="0.25">
      <c r="A34" s="206"/>
      <c r="B34" s="210"/>
      <c r="C34" s="211"/>
      <c r="D34" s="222">
        <v>30</v>
      </c>
      <c r="E34" s="223" t="s">
        <v>75</v>
      </c>
      <c r="F34" s="224">
        <v>0</v>
      </c>
      <c r="G34" s="225">
        <v>0</v>
      </c>
      <c r="H34" s="226">
        <v>0</v>
      </c>
      <c r="I34" s="225">
        <v>0</v>
      </c>
      <c r="J34" s="226">
        <v>0</v>
      </c>
      <c r="K34" s="225">
        <v>0</v>
      </c>
      <c r="L34" s="226">
        <v>0</v>
      </c>
      <c r="M34" s="225">
        <v>0</v>
      </c>
      <c r="N34" s="227">
        <v>0</v>
      </c>
      <c r="O34" s="225">
        <v>0</v>
      </c>
      <c r="P34" s="227">
        <v>0</v>
      </c>
      <c r="Q34" s="225">
        <v>0</v>
      </c>
      <c r="R34" s="227">
        <v>0</v>
      </c>
      <c r="S34" s="228">
        <v>0</v>
      </c>
      <c r="T34" s="211"/>
      <c r="U34" s="210"/>
      <c r="V34" s="206"/>
      <c r="W34" s="206"/>
      <c r="X34" s="206"/>
      <c r="Y34" s="206"/>
      <c r="Z34" s="206"/>
      <c r="AA34" s="206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</row>
    <row r="35" spans="1:38" ht="12.95" customHeight="1" x14ac:dyDescent="0.25">
      <c r="A35" s="206"/>
      <c r="B35" s="210"/>
      <c r="C35" s="211"/>
      <c r="D35" s="222">
        <v>31</v>
      </c>
      <c r="E35" s="223" t="s">
        <v>76</v>
      </c>
      <c r="F35" s="224">
        <v>0</v>
      </c>
      <c r="G35" s="225">
        <v>0</v>
      </c>
      <c r="H35" s="226">
        <v>0</v>
      </c>
      <c r="I35" s="225">
        <v>0</v>
      </c>
      <c r="J35" s="226">
        <v>0</v>
      </c>
      <c r="K35" s="225">
        <v>0</v>
      </c>
      <c r="L35" s="226">
        <v>0</v>
      </c>
      <c r="M35" s="225">
        <v>0</v>
      </c>
      <c r="N35" s="227">
        <v>0</v>
      </c>
      <c r="O35" s="225">
        <v>0</v>
      </c>
      <c r="P35" s="227">
        <v>0</v>
      </c>
      <c r="Q35" s="225">
        <v>0</v>
      </c>
      <c r="R35" s="227">
        <v>0</v>
      </c>
      <c r="S35" s="228">
        <v>0</v>
      </c>
      <c r="T35" s="211"/>
      <c r="U35" s="210"/>
      <c r="V35" s="206"/>
      <c r="W35" s="206"/>
      <c r="X35" s="206"/>
      <c r="Y35" s="206"/>
      <c r="Z35" s="206"/>
      <c r="AA35" s="206"/>
      <c r="AB35" s="206"/>
      <c r="AC35" s="206"/>
      <c r="AD35" s="206"/>
      <c r="AE35" s="206"/>
      <c r="AF35" s="206"/>
      <c r="AG35" s="206"/>
      <c r="AH35" s="206"/>
      <c r="AI35" s="206"/>
      <c r="AJ35" s="206"/>
      <c r="AK35" s="206"/>
      <c r="AL35" s="206"/>
    </row>
    <row r="36" spans="1:38" ht="14.1" customHeight="1" thickBot="1" x14ac:dyDescent="0.3">
      <c r="A36" s="206"/>
      <c r="B36" s="210"/>
      <c r="C36" s="211"/>
      <c r="D36" s="229">
        <v>32</v>
      </c>
      <c r="E36" s="230" t="s">
        <v>77</v>
      </c>
      <c r="F36" s="231">
        <v>0</v>
      </c>
      <c r="G36" s="232">
        <v>0</v>
      </c>
      <c r="H36" s="233">
        <v>0</v>
      </c>
      <c r="I36" s="232">
        <v>0</v>
      </c>
      <c r="J36" s="233">
        <v>0</v>
      </c>
      <c r="K36" s="232">
        <v>0</v>
      </c>
      <c r="L36" s="233">
        <v>0</v>
      </c>
      <c r="M36" s="232">
        <v>0</v>
      </c>
      <c r="N36" s="234">
        <v>0</v>
      </c>
      <c r="O36" s="232">
        <v>0</v>
      </c>
      <c r="P36" s="234">
        <v>0</v>
      </c>
      <c r="Q36" s="232">
        <v>0</v>
      </c>
      <c r="R36" s="234">
        <v>0</v>
      </c>
      <c r="S36" s="235">
        <v>0</v>
      </c>
      <c r="T36" s="211"/>
      <c r="U36" s="210"/>
      <c r="V36" s="206"/>
      <c r="W36" s="206"/>
      <c r="X36" s="206"/>
      <c r="Y36" s="206"/>
      <c r="Z36" s="206"/>
      <c r="AA36" s="206"/>
      <c r="AB36" s="206"/>
      <c r="AC36" s="206"/>
      <c r="AD36" s="206"/>
      <c r="AE36" s="206"/>
      <c r="AF36" s="206"/>
      <c r="AG36" s="206"/>
      <c r="AH36" s="206"/>
      <c r="AI36" s="206"/>
      <c r="AJ36" s="206"/>
      <c r="AK36" s="206"/>
      <c r="AL36" s="206"/>
    </row>
    <row r="37" spans="1:38" ht="14.1" customHeight="1" thickBot="1" x14ac:dyDescent="0.3">
      <c r="A37" s="206"/>
      <c r="B37" s="210"/>
      <c r="C37" s="211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1"/>
      <c r="U37" s="210"/>
      <c r="V37" s="206"/>
      <c r="W37" s="206"/>
      <c r="X37" s="206"/>
      <c r="Y37" s="206"/>
      <c r="Z37" s="206"/>
      <c r="AA37" s="206"/>
      <c r="AB37" s="206"/>
      <c r="AC37" s="206"/>
      <c r="AD37" s="206"/>
      <c r="AE37" s="206"/>
      <c r="AF37" s="206"/>
      <c r="AG37" s="206"/>
      <c r="AH37" s="206"/>
      <c r="AI37" s="206"/>
      <c r="AJ37" s="206"/>
      <c r="AK37" s="206"/>
      <c r="AL37" s="206"/>
    </row>
    <row r="38" spans="1:38" ht="14.1" customHeight="1" thickTop="1" thickBot="1" x14ac:dyDescent="0.3">
      <c r="A38" s="206"/>
      <c r="B38" s="236"/>
      <c r="C38" s="237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8"/>
      <c r="O38" s="238"/>
      <c r="P38" s="238"/>
      <c r="Q38" s="238"/>
      <c r="R38" s="238"/>
      <c r="S38" s="238"/>
      <c r="T38" s="237"/>
      <c r="U38" s="239"/>
      <c r="V38" s="206"/>
      <c r="W38" s="206"/>
      <c r="X38" s="206"/>
      <c r="Y38" s="206"/>
      <c r="Z38" s="206"/>
      <c r="AA38" s="206"/>
      <c r="AB38" s="206"/>
      <c r="AC38" s="206"/>
      <c r="AD38" s="206"/>
      <c r="AE38" s="206"/>
      <c r="AF38" s="206"/>
      <c r="AG38" s="206"/>
      <c r="AH38" s="206"/>
      <c r="AI38" s="206"/>
      <c r="AJ38" s="206"/>
      <c r="AK38" s="206"/>
      <c r="AL38" s="206"/>
    </row>
    <row r="39" spans="1:38" ht="14.1" customHeight="1" thickTop="1" x14ac:dyDescent="0.25">
      <c r="A39" s="206"/>
      <c r="B39" s="206"/>
      <c r="C39" s="206"/>
      <c r="D39" s="206"/>
      <c r="E39" s="206"/>
      <c r="F39" s="206"/>
      <c r="G39" s="206"/>
      <c r="H39" s="206"/>
      <c r="I39" s="206"/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  <c r="AD39" s="206"/>
      <c r="AE39" s="206"/>
      <c r="AF39" s="206"/>
      <c r="AG39" s="206"/>
      <c r="AH39" s="206"/>
      <c r="AI39" s="206"/>
      <c r="AJ39" s="206"/>
      <c r="AK39" s="206"/>
      <c r="AL39" s="206"/>
    </row>
    <row r="40" spans="1:38" ht="12.95" customHeight="1" x14ac:dyDescent="0.25">
      <c r="A40" s="206"/>
      <c r="B40" s="206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  <c r="AD40" s="206"/>
      <c r="AE40" s="206"/>
      <c r="AF40" s="206"/>
      <c r="AG40" s="206"/>
      <c r="AH40" s="206"/>
      <c r="AI40" s="206"/>
      <c r="AJ40" s="206"/>
      <c r="AK40" s="206"/>
      <c r="AL40" s="206"/>
    </row>
    <row r="41" spans="1:38" ht="12.95" customHeight="1" x14ac:dyDescent="0.25">
      <c r="A41" s="206"/>
      <c r="B41" s="206"/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  <c r="AD41" s="206"/>
      <c r="AE41" s="206"/>
      <c r="AF41" s="206"/>
      <c r="AG41" s="206"/>
      <c r="AH41" s="206"/>
      <c r="AI41" s="206"/>
      <c r="AJ41" s="206"/>
      <c r="AK41" s="206"/>
      <c r="AL41" s="206"/>
    </row>
    <row r="42" spans="1:38" ht="12.95" customHeight="1" x14ac:dyDescent="0.25">
      <c r="A42" s="206"/>
      <c r="B42" s="206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6"/>
      <c r="Q42" s="206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  <c r="AD42" s="206"/>
      <c r="AE42" s="206"/>
      <c r="AF42" s="206"/>
      <c r="AG42" s="206"/>
      <c r="AH42" s="206"/>
      <c r="AI42" s="206"/>
      <c r="AJ42" s="206"/>
      <c r="AK42" s="206"/>
      <c r="AL42" s="206"/>
    </row>
    <row r="43" spans="1:38" ht="12.95" customHeight="1" x14ac:dyDescent="0.25">
      <c r="A43" s="206"/>
      <c r="B43" s="206"/>
      <c r="C43" s="206"/>
      <c r="D43" s="206"/>
      <c r="E43" s="206"/>
      <c r="F43" s="206"/>
      <c r="G43" s="206"/>
      <c r="H43" s="206"/>
      <c r="I43" s="206"/>
      <c r="J43" s="206"/>
      <c r="K43" s="206"/>
      <c r="L43" s="206"/>
      <c r="M43" s="206"/>
      <c r="N43" s="206"/>
      <c r="O43" s="206"/>
      <c r="P43" s="206"/>
      <c r="Q43" s="206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  <c r="AD43" s="206"/>
      <c r="AE43" s="206"/>
      <c r="AF43" s="206"/>
      <c r="AG43" s="206"/>
      <c r="AH43" s="206"/>
      <c r="AI43" s="206"/>
      <c r="AJ43" s="206"/>
      <c r="AK43" s="206"/>
      <c r="AL43" s="206"/>
    </row>
    <row r="44" spans="1:38" ht="12.95" customHeight="1" x14ac:dyDescent="0.25">
      <c r="A44" s="206"/>
      <c r="B44" s="206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6"/>
      <c r="Q44" s="206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  <c r="AD44" s="206"/>
      <c r="AE44" s="206"/>
      <c r="AF44" s="206"/>
      <c r="AG44" s="206"/>
      <c r="AH44" s="206"/>
      <c r="AI44" s="206"/>
      <c r="AJ44" s="206"/>
      <c r="AK44" s="206"/>
      <c r="AL44" s="206"/>
    </row>
    <row r="45" spans="1:38" ht="12.95" customHeight="1" x14ac:dyDescent="0.25">
      <c r="A45" s="206"/>
      <c r="B45" s="206"/>
      <c r="C45" s="206"/>
      <c r="D45" s="206"/>
      <c r="E45" s="206"/>
      <c r="F45" s="206"/>
      <c r="G45" s="206"/>
      <c r="H45" s="206"/>
      <c r="I45" s="206"/>
      <c r="J45" s="206"/>
      <c r="K45" s="206"/>
      <c r="L45" s="206"/>
      <c r="M45" s="206"/>
      <c r="N45" s="206"/>
      <c r="O45" s="206"/>
      <c r="P45" s="206"/>
      <c r="Q45" s="206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  <c r="AD45" s="206"/>
      <c r="AE45" s="206"/>
      <c r="AF45" s="206"/>
      <c r="AG45" s="206"/>
      <c r="AH45" s="206"/>
      <c r="AI45" s="206"/>
      <c r="AJ45" s="206"/>
      <c r="AK45" s="206"/>
      <c r="AL45" s="206"/>
    </row>
    <row r="46" spans="1:38" ht="12.95" customHeight="1" x14ac:dyDescent="0.25">
      <c r="A46" s="206"/>
      <c r="B46" s="206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6"/>
      <c r="Q46" s="206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  <c r="AD46" s="206"/>
      <c r="AE46" s="206"/>
      <c r="AF46" s="206"/>
      <c r="AG46" s="206"/>
      <c r="AH46" s="206"/>
      <c r="AI46" s="206"/>
      <c r="AJ46" s="206"/>
      <c r="AK46" s="206"/>
      <c r="AL46" s="206"/>
    </row>
    <row r="47" spans="1:38" ht="12.95" customHeight="1" x14ac:dyDescent="0.25">
      <c r="A47" s="206"/>
      <c r="B47" s="206"/>
      <c r="C47" s="206"/>
      <c r="D47" s="206"/>
      <c r="E47" s="206"/>
      <c r="F47" s="206"/>
      <c r="G47" s="206"/>
      <c r="H47" s="206"/>
      <c r="I47" s="206"/>
      <c r="J47" s="206"/>
      <c r="K47" s="206"/>
      <c r="L47" s="206"/>
      <c r="M47" s="206"/>
      <c r="N47" s="206"/>
      <c r="O47" s="206"/>
      <c r="P47" s="206"/>
      <c r="Q47" s="206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  <c r="AD47" s="206"/>
      <c r="AE47" s="206"/>
      <c r="AF47" s="206"/>
      <c r="AG47" s="206"/>
      <c r="AH47" s="206"/>
      <c r="AI47" s="206"/>
      <c r="AJ47" s="206"/>
      <c r="AK47" s="206"/>
      <c r="AL47" s="206"/>
    </row>
    <row r="48" spans="1:38" ht="12.95" customHeight="1" x14ac:dyDescent="0.25">
      <c r="A48" s="206"/>
      <c r="B48" s="206"/>
      <c r="C48" s="206"/>
      <c r="D48" s="206"/>
      <c r="E48" s="206"/>
      <c r="F48" s="206"/>
      <c r="G48" s="206"/>
      <c r="H48" s="206"/>
      <c r="I48" s="206"/>
      <c r="J48" s="206"/>
      <c r="K48" s="206"/>
      <c r="L48" s="206"/>
      <c r="M48" s="206"/>
      <c r="N48" s="206"/>
      <c r="O48" s="206"/>
      <c r="P48" s="206"/>
      <c r="Q48" s="206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  <c r="AD48" s="206"/>
      <c r="AE48" s="206"/>
      <c r="AF48" s="206"/>
      <c r="AG48" s="206"/>
      <c r="AH48" s="206"/>
      <c r="AI48" s="206"/>
      <c r="AJ48" s="206"/>
      <c r="AK48" s="206"/>
      <c r="AL48" s="206"/>
    </row>
    <row r="49" spans="1:38" ht="12.95" customHeight="1" x14ac:dyDescent="0.25">
      <c r="A49" s="206"/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06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  <c r="AD49" s="206"/>
      <c r="AE49" s="206"/>
      <c r="AF49" s="206"/>
      <c r="AG49" s="206"/>
      <c r="AH49" s="206"/>
      <c r="AI49" s="206"/>
      <c r="AJ49" s="206"/>
      <c r="AK49" s="206"/>
      <c r="AL49" s="206"/>
    </row>
    <row r="50" spans="1:38" ht="12.95" customHeight="1" x14ac:dyDescent="0.25">
      <c r="A50" s="206"/>
      <c r="B50" s="206"/>
      <c r="C50" s="206"/>
      <c r="D50" s="206"/>
      <c r="E50" s="206"/>
      <c r="F50" s="206"/>
      <c r="G50" s="206"/>
      <c r="H50" s="206"/>
      <c r="I50" s="206"/>
      <c r="J50" s="206"/>
      <c r="K50" s="206"/>
      <c r="L50" s="206"/>
      <c r="M50" s="206"/>
      <c r="N50" s="206"/>
      <c r="O50" s="206"/>
      <c r="P50" s="206"/>
      <c r="Q50" s="206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  <c r="AD50" s="206"/>
      <c r="AE50" s="206"/>
      <c r="AF50" s="206"/>
      <c r="AG50" s="206"/>
      <c r="AH50" s="206"/>
      <c r="AI50" s="206"/>
      <c r="AJ50" s="206"/>
      <c r="AK50" s="206"/>
      <c r="AL50" s="206"/>
    </row>
    <row r="51" spans="1:38" ht="12.95" customHeight="1" x14ac:dyDescent="0.25">
      <c r="A51" s="206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  <c r="AL51" s="206"/>
    </row>
    <row r="52" spans="1:38" ht="12.95" customHeight="1" x14ac:dyDescent="0.25">
      <c r="A52" s="206"/>
      <c r="B52" s="206"/>
      <c r="C52" s="206"/>
      <c r="D52" s="206"/>
      <c r="E52" s="206"/>
      <c r="F52" s="206"/>
      <c r="G52" s="206"/>
      <c r="H52" s="206"/>
      <c r="I52" s="206"/>
      <c r="J52" s="206"/>
      <c r="K52" s="206"/>
      <c r="L52" s="206"/>
      <c r="M52" s="206"/>
      <c r="N52" s="206"/>
      <c r="O52" s="206"/>
      <c r="P52" s="206"/>
      <c r="Q52" s="206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  <c r="AD52" s="206"/>
      <c r="AE52" s="206"/>
      <c r="AF52" s="206"/>
      <c r="AG52" s="206"/>
      <c r="AH52" s="206"/>
      <c r="AI52" s="206"/>
      <c r="AJ52" s="206"/>
      <c r="AK52" s="206"/>
      <c r="AL52" s="206"/>
    </row>
    <row r="53" spans="1:38" ht="12.95" customHeight="1" x14ac:dyDescent="0.25">
      <c r="A53" s="206"/>
      <c r="B53" s="206"/>
      <c r="C53" s="206"/>
      <c r="D53" s="206"/>
      <c r="E53" s="206"/>
      <c r="F53" s="206"/>
      <c r="G53" s="206"/>
      <c r="H53" s="206"/>
      <c r="I53" s="206"/>
      <c r="J53" s="206"/>
      <c r="K53" s="206"/>
      <c r="L53" s="206"/>
      <c r="M53" s="206"/>
      <c r="N53" s="206"/>
      <c r="O53" s="206"/>
      <c r="P53" s="206"/>
      <c r="Q53" s="206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  <c r="AD53" s="206"/>
      <c r="AE53" s="206"/>
      <c r="AF53" s="206"/>
      <c r="AG53" s="206"/>
      <c r="AH53" s="206"/>
      <c r="AI53" s="206"/>
      <c r="AJ53" s="206"/>
      <c r="AK53" s="206"/>
      <c r="AL53" s="206"/>
    </row>
    <row r="54" spans="1:38" ht="12.95" customHeight="1" x14ac:dyDescent="0.25">
      <c r="A54" s="206"/>
      <c r="B54" s="206"/>
      <c r="C54" s="206"/>
      <c r="D54" s="206"/>
      <c r="E54" s="206"/>
      <c r="F54" s="206"/>
      <c r="G54" s="206"/>
      <c r="H54" s="206"/>
      <c r="I54" s="206"/>
      <c r="J54" s="206"/>
      <c r="K54" s="206"/>
      <c r="L54" s="206"/>
      <c r="M54" s="206"/>
      <c r="N54" s="206"/>
      <c r="O54" s="206"/>
      <c r="P54" s="206"/>
      <c r="Q54" s="206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  <c r="AD54" s="206"/>
      <c r="AE54" s="206"/>
      <c r="AF54" s="206"/>
      <c r="AG54" s="206"/>
      <c r="AH54" s="206"/>
      <c r="AI54" s="206"/>
      <c r="AJ54" s="206"/>
      <c r="AK54" s="206"/>
      <c r="AL54" s="206"/>
    </row>
    <row r="55" spans="1:38" ht="12.95" customHeight="1" x14ac:dyDescent="0.25">
      <c r="A55" s="206"/>
      <c r="B55" s="206"/>
      <c r="C55" s="206"/>
      <c r="D55" s="206"/>
      <c r="E55" s="206"/>
      <c r="F55" s="206"/>
      <c r="G55" s="206"/>
      <c r="H55" s="206"/>
      <c r="I55" s="206"/>
      <c r="J55" s="206"/>
      <c r="K55" s="206"/>
      <c r="L55" s="206"/>
      <c r="M55" s="206"/>
      <c r="N55" s="206"/>
      <c r="O55" s="206"/>
      <c r="P55" s="206"/>
      <c r="Q55" s="206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  <c r="AD55" s="206"/>
      <c r="AE55" s="206"/>
      <c r="AF55" s="206"/>
      <c r="AG55" s="206"/>
      <c r="AH55" s="206"/>
      <c r="AI55" s="206"/>
      <c r="AJ55" s="206"/>
      <c r="AK55" s="206"/>
      <c r="AL55" s="206"/>
    </row>
    <row r="56" spans="1:38" ht="12.95" customHeight="1" x14ac:dyDescent="0.25">
      <c r="A56" s="206"/>
      <c r="B56" s="206"/>
      <c r="C56" s="206"/>
      <c r="D56" s="206"/>
      <c r="E56" s="206"/>
      <c r="F56" s="206"/>
      <c r="G56" s="206"/>
      <c r="H56" s="206"/>
      <c r="I56" s="206"/>
      <c r="J56" s="206"/>
      <c r="K56" s="206"/>
      <c r="L56" s="206"/>
      <c r="M56" s="206"/>
      <c r="N56" s="206"/>
      <c r="O56" s="206"/>
      <c r="P56" s="206"/>
      <c r="Q56" s="206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  <c r="AD56" s="206"/>
      <c r="AE56" s="206"/>
      <c r="AF56" s="206"/>
      <c r="AG56" s="206"/>
      <c r="AH56" s="206"/>
      <c r="AI56" s="206"/>
      <c r="AJ56" s="206"/>
      <c r="AK56" s="206"/>
      <c r="AL56" s="206"/>
    </row>
    <row r="57" spans="1:38" x14ac:dyDescent="0.25">
      <c r="A57" s="206"/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  <c r="M57" s="206"/>
      <c r="N57" s="206"/>
      <c r="O57" s="206"/>
      <c r="P57" s="206"/>
      <c r="Q57" s="206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  <c r="AD57" s="206"/>
      <c r="AE57" s="206"/>
      <c r="AF57" s="206"/>
      <c r="AG57" s="206"/>
      <c r="AH57" s="206"/>
      <c r="AI57" s="206"/>
      <c r="AJ57" s="206"/>
      <c r="AK57" s="206"/>
      <c r="AL57" s="206"/>
    </row>
    <row r="58" spans="1:38" x14ac:dyDescent="0.25">
      <c r="A58" s="206"/>
      <c r="B58" s="206"/>
      <c r="C58" s="206"/>
      <c r="D58" s="206"/>
      <c r="E58" s="206"/>
      <c r="F58" s="206"/>
      <c r="G58" s="206"/>
      <c r="H58" s="206"/>
      <c r="I58" s="206"/>
      <c r="J58" s="206"/>
      <c r="K58" s="206"/>
      <c r="L58" s="206"/>
      <c r="M58" s="206"/>
      <c r="N58" s="206"/>
      <c r="O58" s="206"/>
      <c r="P58" s="206"/>
      <c r="Q58" s="206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  <c r="AD58" s="206"/>
      <c r="AE58" s="206"/>
      <c r="AF58" s="206"/>
      <c r="AG58" s="206"/>
      <c r="AH58" s="206"/>
      <c r="AI58" s="206"/>
      <c r="AJ58" s="206"/>
      <c r="AK58" s="206"/>
      <c r="AL58" s="206"/>
    </row>
    <row r="59" spans="1:38" x14ac:dyDescent="0.25">
      <c r="A59" s="206"/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  <c r="M59" s="206"/>
      <c r="N59" s="206"/>
      <c r="O59" s="206"/>
      <c r="P59" s="206"/>
      <c r="Q59" s="206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  <c r="AD59" s="206"/>
      <c r="AE59" s="206"/>
      <c r="AF59" s="206"/>
      <c r="AG59" s="206"/>
      <c r="AH59" s="206"/>
      <c r="AI59" s="206"/>
      <c r="AJ59" s="206"/>
      <c r="AK59" s="206"/>
      <c r="AL59" s="206"/>
    </row>
    <row r="60" spans="1:38" x14ac:dyDescent="0.25">
      <c r="A60" s="206"/>
      <c r="B60" s="206"/>
      <c r="C60" s="206"/>
      <c r="D60" s="206"/>
      <c r="E60" s="206"/>
      <c r="F60" s="206"/>
      <c r="G60" s="206"/>
      <c r="H60" s="206"/>
      <c r="I60" s="206"/>
      <c r="J60" s="206"/>
      <c r="K60" s="206"/>
      <c r="L60" s="206"/>
      <c r="M60" s="206"/>
      <c r="N60" s="206"/>
      <c r="O60" s="206"/>
      <c r="P60" s="206"/>
      <c r="Q60" s="206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  <c r="AD60" s="206"/>
      <c r="AE60" s="206"/>
      <c r="AF60" s="206"/>
      <c r="AG60" s="206"/>
      <c r="AH60" s="206"/>
      <c r="AI60" s="206"/>
      <c r="AJ60" s="206"/>
      <c r="AK60" s="206"/>
      <c r="AL60" s="206"/>
    </row>
  </sheetData>
  <mergeCells count="2">
    <mergeCell ref="C2:T2"/>
    <mergeCell ref="W2:X2"/>
  </mergeCells>
  <phoneticPr fontId="108" type="noConversion"/>
  <conditionalFormatting sqref="E4:S36">
    <cfRule type="expression" dxfId="226" priority="1" stopIfTrue="1">
      <formula>IF(E$4=cFiltro,1,0)</formula>
    </cfRule>
  </conditionalFormatting>
  <hyperlinks>
    <hyperlink ref="C2:T2" location="Menu!J17" display="ESTADÍSTICAS"/>
    <hyperlink ref="E4" location="Estadisticas!A1" tooltip="Ordenar x Equipo" display="Equipo"/>
    <hyperlink ref="F4" location="Estadisticas!A1" tooltip="Ordenar x PJ" display="PJ"/>
    <hyperlink ref="G4" location="Estadisticas!A1" tooltip="Ordenar x PG" display="PG"/>
    <hyperlink ref="H4" location="Estadisticas!A1" tooltip="Ordenar x %PG" display="% PG"/>
    <hyperlink ref="I4" location="Estadisticas!A1" tooltip="Ordenar x PE" display="PE"/>
    <hyperlink ref="J4" location="Estadisticas!A1" tooltip="Ordenar x %PE" display="% PE"/>
    <hyperlink ref="L4" location="Estadisticas!A1" tooltip="Ordenar x %PP" display="% PP"/>
    <hyperlink ref="M4" location="Estadisticas!A1" tooltip="Ordenar x Pts" display="PTS"/>
    <hyperlink ref="N4" location="Estadisticas!A1" tooltip="Ordenar x Pts/P" display="Pts/P"/>
    <hyperlink ref="O4" location="Estadisticas!A1" tooltip="Ordenar x GF" display="GF"/>
    <hyperlink ref="P4" location="Estadisticas!A1" tooltip="Ordenar x GF/P" display="GF/P"/>
    <hyperlink ref="Q4" location="Estadisticas!A1" tooltip="Ordenar x GC" display="GC"/>
    <hyperlink ref="R4" location="Estadisticas!A1" tooltip="Ordenar x GC/P" display="GC/P"/>
    <hyperlink ref="S4" location="Estadisticas!A1" tooltip="Ordenar x Dif" display="DIF"/>
    <hyperlink ref="W2" location="Menu!A1" tooltip="Menu Principal" display="Menu Principal"/>
    <hyperlink ref="W2:X2" location="Estadisticas!A1" tooltip="Menu Principal" display="Menu Principal"/>
    <hyperlink ref="K4" location="Estadisticas!A1" tooltip="Ordenar x PP" display="PP"/>
    <hyperlink ref="F4:S4" location="Estadisticas!A1" tooltip="Ordenar x Equipo" display="Equipo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E3"/>
  <sheetViews>
    <sheetView workbookViewId="0">
      <selection activeCell="D3" sqref="D3"/>
    </sheetView>
  </sheetViews>
  <sheetFormatPr defaultRowHeight="15" x14ac:dyDescent="0.25"/>
  <sheetData>
    <row r="2" spans="3:5" x14ac:dyDescent="0.25">
      <c r="C2" t="s">
        <v>576</v>
      </c>
      <c r="D2">
        <f>'Manuel Godoy'!$J$10</f>
        <v>3</v>
      </c>
      <c r="E2">
        <f>RANK(D2,$D$2:$D$3,0)</f>
        <v>2</v>
      </c>
    </row>
    <row r="3" spans="3:5" x14ac:dyDescent="0.25">
      <c r="C3" t="s">
        <v>579</v>
      </c>
      <c r="D3">
        <f>'Antonio J'!$J$10</f>
        <v>10</v>
      </c>
      <c r="E3">
        <f>RANK(D3,$D$2:$D$3,0)</f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52"/>
  <sheetViews>
    <sheetView workbookViewId="0">
      <selection activeCell="K7" sqref="K7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3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570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27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565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3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>
        <f>IF(Quiniela!$C16="","",Quiniela!$C16)</f>
        <v>3</v>
      </c>
      <c r="D16" s="269" t="s">
        <v>522</v>
      </c>
      <c r="E16" s="394">
        <f>IF(Quiniela!$E16="","",Quiniela!$E16)</f>
        <v>1</v>
      </c>
      <c r="F16" s="393" t="s">
        <v>26</v>
      </c>
      <c r="G16" s="271">
        <v>2</v>
      </c>
      <c r="H16" s="272" t="s">
        <v>24</v>
      </c>
      <c r="I16" s="271">
        <v>0</v>
      </c>
      <c r="J16" s="273">
        <f>IF(AND(Quiniela!$C16&lt;&gt;"",Quiniela!$E16&lt;&gt;"",$G16&lt;&gt;"",$I16&lt;&gt;"",OR(AND(Quiniela!$C16&gt;Quiniela!$E16,$G16&gt;$I16),AND(Quiniela!$C16=Quiniela!$E16,$G16=$I16),AND(Quiniela!$C16&lt;Quiniela!$E16,$G16&lt;$I16))),Puntos!$H$10,0)</f>
        <v>3</v>
      </c>
      <c r="K16" s="273">
        <f>IF(AND(Quiniela!$C16&lt;&gt;"",Quiniela!$E16&lt;&gt;"",$G16&lt;&gt;"",$I16&lt;&gt;"",AND(Quiniela!$C16=$G16,Quiniela!$E16=$I16)),Puntos!$H$11,0)</f>
        <v>0</v>
      </c>
      <c r="L16" s="163"/>
      <c r="M16" s="392" t="s">
        <v>108</v>
      </c>
      <c r="N16" s="391"/>
      <c r="O16" s="266">
        <v>49</v>
      </c>
      <c r="P16" s="275" t="str">
        <f>'Calculos M'!V4</f>
        <v>Brasil</v>
      </c>
      <c r="Q16" s="276" t="str">
        <f>IF(Quiniela!Q16="","",Quiniela!Q16)</f>
        <v/>
      </c>
      <c r="R16" s="276" t="str">
        <f>IF(Quiniela!R16="","",Quiniela!R16)</f>
        <v/>
      </c>
      <c r="S16" s="278" t="s">
        <v>522</v>
      </c>
      <c r="T16" s="276" t="str">
        <f>IF(Quiniela!T16="","",Quiniela!T16)</f>
        <v/>
      </c>
      <c r="U16" s="276" t="str">
        <f>IF(Quiniela!U16="","",Quiniela!U16)</f>
        <v/>
      </c>
      <c r="V16" s="279" t="str">
        <f>'Calculos M'!AA4</f>
        <v>2do Grupo B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44</v>
      </c>
      <c r="AC16" s="285">
        <f>IF(OR(Y16="",AA16=""),0,IF(AND(ISERROR(MATCH($X16,$P$16:$P$23,0)),ISERROR(MATCH($X16,$V$16:$V$23,0))),0,Puntos!$H$14))</f>
        <v>10</v>
      </c>
      <c r="AD16" s="285">
        <f>IF(OR(Y16="",AA16=""),0,IF(AND(ISERROR(MATCH($AB16,$P$16:$P$23,0)),ISERROR(MATCH($AB16,$V$16:$V$23,0))),0,Puntos!$H$14))</f>
        <v>0</v>
      </c>
      <c r="AE16" s="285">
        <f>'Calculos M'!AR4*Puntos!$H$12</f>
        <v>0</v>
      </c>
      <c r="AF16" s="285">
        <f>'Calculos M'!AS4*Puntos!$H$13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94" t="str">
        <f>IF(Quiniela!$C17="","",Quiniela!$C17)</f>
        <v/>
      </c>
      <c r="D17" s="302" t="s">
        <v>522</v>
      </c>
      <c r="E17" s="394" t="str">
        <f>IF(Quiniela!$E17="","",Quiniela!$E17)</f>
        <v/>
      </c>
      <c r="F17" s="388" t="s">
        <v>28</v>
      </c>
      <c r="G17" s="290">
        <v>1</v>
      </c>
      <c r="H17" s="291" t="s">
        <v>24</v>
      </c>
      <c r="I17" s="290">
        <v>1</v>
      </c>
      <c r="J17" s="273">
        <f>IF(AND(Quiniela!$C17&lt;&gt;"",Quiniela!$E17&lt;&gt;"",$G17&lt;&gt;"",$I17&lt;&gt;"",OR(AND(Quiniela!$C17&gt;Quiniela!$E17,$G17&gt;$I17),AND(Quiniela!$C17=Quiniela!$E17,$G17=$I17),AND(Quiniela!$C17&lt;Quiniela!$E17,$G17&lt;$I17))),Puntos!$H$10,0)</f>
        <v>0</v>
      </c>
      <c r="K17" s="273">
        <f>IF(AND(Quiniela!$C17&lt;&gt;"",Quiniela!$E17&lt;&gt;"",$G17&lt;&gt;"",$I17&lt;&gt;"",AND(Quiniela!$C17=$G17,Quiniela!$E17=$I17)),Puntos!$H$11,0)</f>
        <v>0</v>
      </c>
      <c r="L17" s="163"/>
      <c r="M17" s="392" t="s">
        <v>115</v>
      </c>
      <c r="N17" s="391"/>
      <c r="O17" s="266">
        <v>50</v>
      </c>
      <c r="P17" s="293" t="str">
        <f>'Calculos M'!V5</f>
        <v>1ero Grupo C</v>
      </c>
      <c r="Q17" s="276" t="str">
        <f>IF(Quiniela!Q17="","",Quiniela!Q17)</f>
        <v/>
      </c>
      <c r="R17" s="276" t="str">
        <f>IF(Quiniela!R17="","",Quiniela!R17)</f>
        <v/>
      </c>
      <c r="S17" s="295" t="s">
        <v>522</v>
      </c>
      <c r="T17" s="276" t="str">
        <f>IF(Quiniela!T17="","",Quiniela!T17)</f>
        <v/>
      </c>
      <c r="U17" s="276" t="str">
        <f>IF(Quiniela!U17="","",Quiniela!U17)</f>
        <v/>
      </c>
      <c r="V17" s="296" t="str">
        <f>'Calculos M'!AA5</f>
        <v>2do Grupo D</v>
      </c>
      <c r="W17" s="397"/>
      <c r="X17" s="298" t="s">
        <v>49</v>
      </c>
      <c r="Y17" s="299">
        <v>0</v>
      </c>
      <c r="Z17" s="302" t="s">
        <v>522</v>
      </c>
      <c r="AA17" s="299">
        <v>0</v>
      </c>
      <c r="AB17" s="300" t="s">
        <v>57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'Calculos M'!AR5*Puntos!$H$12</f>
        <v>0</v>
      </c>
      <c r="AF17" s="301">
        <f>'Calculos M'!AS5*Puntos!$H$13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94" t="str">
        <f>IF(Quiniela!$C18="","",Quiniela!$C18)</f>
        <v/>
      </c>
      <c r="D18" s="302" t="s">
        <v>522</v>
      </c>
      <c r="E18" s="394" t="str">
        <f>IF(Quiniela!$E18="","",Quiniela!$E18)</f>
        <v/>
      </c>
      <c r="F18" s="388" t="s">
        <v>27</v>
      </c>
      <c r="G18" s="290">
        <v>3</v>
      </c>
      <c r="H18" s="291" t="s">
        <v>24</v>
      </c>
      <c r="I18" s="290">
        <v>1</v>
      </c>
      <c r="J18" s="273">
        <f>IF(AND(Quiniela!$C18&lt;&gt;"",Quiniela!$E18&lt;&gt;"",$G18&lt;&gt;"",$I18&lt;&gt;"",OR(AND(Quiniela!$C18&gt;Quiniela!$E18,$G18&gt;$I18),AND(Quiniela!$C18=Quiniela!$E18,$G18=$I18),AND(Quiniela!$C18&lt;Quiniela!$E18,$G18&lt;$I18))),Puntos!$H$10,0)</f>
        <v>0</v>
      </c>
      <c r="K18" s="273">
        <f>IF(AND(Quiniela!$C18&lt;&gt;"",Quiniela!$E18&lt;&gt;"",$G18&lt;&gt;"",$I18&lt;&gt;"",AND(Quiniela!$C18=$G18,Quiniela!$E18=$I18)),Puntos!$H$11,0)</f>
        <v>0</v>
      </c>
      <c r="L18" s="163"/>
      <c r="M18" s="392" t="s">
        <v>112</v>
      </c>
      <c r="N18" s="391"/>
      <c r="O18" s="266">
        <v>51</v>
      </c>
      <c r="P18" s="293" t="str">
        <f>'Calculos M'!V6</f>
        <v>1ero Grupo B</v>
      </c>
      <c r="Q18" s="276" t="str">
        <f>IF(Quiniela!Q18="","",Quiniela!Q18)</f>
        <v/>
      </c>
      <c r="R18" s="276" t="str">
        <f>IF(Quiniela!R18="","",Quiniela!R18)</f>
        <v/>
      </c>
      <c r="S18" s="295" t="s">
        <v>522</v>
      </c>
      <c r="T18" s="276" t="str">
        <f>IF(Quiniela!T18="","",Quiniela!T18)</f>
        <v/>
      </c>
      <c r="U18" s="276" t="str">
        <f>IF(Quiniela!U18="","",Quiniela!U18)</f>
        <v/>
      </c>
      <c r="V18" s="296" t="str">
        <f>'Calculos M'!AA6</f>
        <v>2do Grupo A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26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'Calculos M'!AR6*Puntos!$H$12</f>
        <v>0</v>
      </c>
      <c r="AF18" s="301">
        <f>'Calculos M'!AS6*Puntos!$H$13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94" t="str">
        <f>IF(Quiniela!$C19="","",Quiniela!$C19)</f>
        <v/>
      </c>
      <c r="D19" s="302" t="s">
        <v>522</v>
      </c>
      <c r="E19" s="394" t="str">
        <f>IF(Quiniela!$E19="","",Quiniela!$E19)</f>
        <v/>
      </c>
      <c r="F19" s="388" t="s">
        <v>26</v>
      </c>
      <c r="G19" s="290">
        <v>0</v>
      </c>
      <c r="H19" s="291" t="s">
        <v>24</v>
      </c>
      <c r="I19" s="290">
        <v>1</v>
      </c>
      <c r="J19" s="273">
        <f>IF(AND(Quiniela!$C19&lt;&gt;"",Quiniela!$E19&lt;&gt;"",$G19&lt;&gt;"",$I19&lt;&gt;"",OR(AND(Quiniela!$C19&gt;Quiniela!$E19,$G19&gt;$I19),AND(Quiniela!$C19=Quiniela!$E19,$G19=$I19),AND(Quiniela!$C19&lt;Quiniela!$E19,$G19&lt;$I19))),Puntos!$H$10,0)</f>
        <v>0</v>
      </c>
      <c r="K19" s="273">
        <f>IF(AND(Quiniela!$C19&lt;&gt;"",Quiniela!$E19&lt;&gt;"",$G19&lt;&gt;"",$I19&lt;&gt;"",AND(Quiniela!$C19=$G19,Quiniela!$E19=$I19)),Puntos!$H$11,0)</f>
        <v>0</v>
      </c>
      <c r="L19" s="163"/>
      <c r="M19" s="392" t="s">
        <v>120</v>
      </c>
      <c r="N19" s="391"/>
      <c r="O19" s="266">
        <v>52</v>
      </c>
      <c r="P19" s="293" t="str">
        <f>'Calculos M'!V7</f>
        <v>1ero Grupo D</v>
      </c>
      <c r="Q19" s="276" t="str">
        <f>IF(Quiniela!Q19="","",Quiniela!Q19)</f>
        <v/>
      </c>
      <c r="R19" s="276" t="str">
        <f>IF(Quiniela!R19="","",Quiniela!R19)</f>
        <v/>
      </c>
      <c r="S19" s="295" t="s">
        <v>522</v>
      </c>
      <c r="T19" s="276" t="str">
        <f>IF(Quiniela!T19="","",Quiniela!T19)</f>
        <v/>
      </c>
      <c r="U19" s="276" t="str">
        <f>IF(Quiniela!U19="","",Quiniela!U19)</f>
        <v/>
      </c>
      <c r="V19" s="296" t="str">
        <f>'Calculos M'!AA7</f>
        <v>2do Grupo C</v>
      </c>
      <c r="W19" s="397"/>
      <c r="X19" s="298" t="s">
        <v>54</v>
      </c>
      <c r="Y19" s="299">
        <v>1</v>
      </c>
      <c r="Z19" s="302" t="s">
        <v>522</v>
      </c>
      <c r="AA19" s="299">
        <v>0</v>
      </c>
      <c r="AB19" s="300" t="s">
        <v>51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'Calculos M'!AR7*Puntos!$H$12</f>
        <v>0</v>
      </c>
      <c r="AF19" s="301">
        <f>'Calculos M'!AS7*Puntos!$H$13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94" t="str">
        <f>IF(Quiniela!$C20="","",Quiniela!$C20)</f>
        <v/>
      </c>
      <c r="D20" s="302" t="s">
        <v>522</v>
      </c>
      <c r="E20" s="394" t="str">
        <f>IF(Quiniela!$E20="","",Quiniela!$E20)</f>
        <v/>
      </c>
      <c r="F20" s="388" t="s">
        <v>27</v>
      </c>
      <c r="G20" s="290">
        <v>2</v>
      </c>
      <c r="H20" s="291" t="s">
        <v>24</v>
      </c>
      <c r="I20" s="290">
        <v>2</v>
      </c>
      <c r="J20" s="273">
        <f>IF(AND(Quiniela!$C20&lt;&gt;"",Quiniela!$E20&lt;&gt;"",$G20&lt;&gt;"",$I20&lt;&gt;"",OR(AND(Quiniela!$C20&gt;Quiniela!$E20,$G20&gt;$I20),AND(Quiniela!$C20=Quiniela!$E20,$G20=$I20),AND(Quiniela!$C20&lt;Quiniela!$E20,$G20&lt;$I20))),Puntos!$H$10,0)</f>
        <v>0</v>
      </c>
      <c r="K20" s="273">
        <f>IF(AND(Quiniela!$C20&lt;&gt;"",Quiniela!$E20&lt;&gt;"",$G20&lt;&gt;"",$I20&lt;&gt;"",AND(Quiniela!$C20=$G20,Quiniela!$E20=$I20)),Puntos!$H$11,0)</f>
        <v>0</v>
      </c>
      <c r="L20" s="163"/>
      <c r="M20" s="163"/>
      <c r="N20" s="163"/>
      <c r="O20" s="266">
        <v>53</v>
      </c>
      <c r="P20" s="293" t="str">
        <f>'Calculos M'!V8</f>
        <v>1ero Grupo E</v>
      </c>
      <c r="Q20" s="276" t="str">
        <f>IF(Quiniela!Q20="","",Quiniela!Q20)</f>
        <v/>
      </c>
      <c r="R20" s="276" t="str">
        <f>IF(Quiniela!R20="","",Quiniela!R20)</f>
        <v/>
      </c>
      <c r="S20" s="295" t="s">
        <v>522</v>
      </c>
      <c r="T20" s="276" t="str">
        <f>IF(Quiniela!T20="","",Quiniela!T20)</f>
        <v/>
      </c>
      <c r="U20" s="276" t="str">
        <f>IF(Quiniela!U20="","",Quiniela!U20)</f>
        <v/>
      </c>
      <c r="V20" s="296" t="str">
        <f>'Calculos M'!AA8</f>
        <v>2do Grupo F</v>
      </c>
      <c r="W20" s="397"/>
      <c r="X20" s="298" t="s">
        <v>60</v>
      </c>
      <c r="Y20" s="299">
        <v>4</v>
      </c>
      <c r="Z20" s="302" t="s">
        <v>522</v>
      </c>
      <c r="AA20" s="299">
        <v>3</v>
      </c>
      <c r="AB20" s="300" t="s">
        <v>67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'Calculos M'!AR8*Puntos!$H$12</f>
        <v>0</v>
      </c>
      <c r="AF20" s="301">
        <f>'Calculos M'!AS8*Puntos!$H$13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94" t="str">
        <f>IF(Quiniela!$C21="","",Quiniela!$C21)</f>
        <v/>
      </c>
      <c r="D21" s="305" t="s">
        <v>522</v>
      </c>
      <c r="E21" s="394" t="str">
        <f>IF(Quiniela!$E21="","",Quiniela!$E21)</f>
        <v/>
      </c>
      <c r="F21" s="385" t="s">
        <v>25</v>
      </c>
      <c r="G21" s="307">
        <v>1</v>
      </c>
      <c r="H21" s="308" t="s">
        <v>24</v>
      </c>
      <c r="I21" s="307">
        <v>2</v>
      </c>
      <c r="J21" s="273">
        <f>IF(AND(Quiniela!$C21&lt;&gt;"",Quiniela!$E21&lt;&gt;"",$G21&lt;&gt;"",$I21&lt;&gt;"",OR(AND(Quiniela!$C21&gt;Quiniela!$E21,$G21&gt;$I21),AND(Quiniela!$C21=Quiniela!$E21,$G21=$I21),AND(Quiniela!$C21&lt;Quiniela!$E21,$G21&lt;$I21))),Puntos!$H$10,0)</f>
        <v>0</v>
      </c>
      <c r="K21" s="273">
        <f>IF(AND(Quiniela!$C21&lt;&gt;"",Quiniela!$E21&lt;&gt;"",$G21&lt;&gt;"",$I21&lt;&gt;"",AND(Quiniela!$C21=$G21,Quiniela!$E21=$I21)),Puntos!$H$11,0)</f>
        <v>0</v>
      </c>
      <c r="L21" s="163"/>
      <c r="M21" s="163"/>
      <c r="N21" s="163"/>
      <c r="O21" s="266">
        <v>54</v>
      </c>
      <c r="P21" s="293" t="str">
        <f>'Calculos M'!V9</f>
        <v>1ero Grupo G</v>
      </c>
      <c r="Q21" s="276" t="str">
        <f>IF(Quiniela!Q21="","",Quiniela!Q21)</f>
        <v/>
      </c>
      <c r="R21" s="276" t="str">
        <f>IF(Quiniela!R21="","",Quiniela!R21)</f>
        <v/>
      </c>
      <c r="S21" s="295" t="s">
        <v>522</v>
      </c>
      <c r="T21" s="276" t="str">
        <f>IF(Quiniela!T21="","",Quiniela!T21)</f>
        <v/>
      </c>
      <c r="U21" s="276" t="str">
        <f>IF(Quiniela!U21="","",Quiniela!U21)</f>
        <v/>
      </c>
      <c r="V21" s="296" t="str">
        <f>'Calculos M'!AA9</f>
        <v>2do Grupo H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75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'Calculos M'!AR9*Puntos!$H$12</f>
        <v>0</v>
      </c>
      <c r="AF21" s="301">
        <f>'Calculos M'!AS9*Puntos!$H$13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3</v>
      </c>
      <c r="K22" s="273">
        <f>SUM(K16:K21)</f>
        <v>0</v>
      </c>
      <c r="L22" s="163"/>
      <c r="M22" s="163"/>
      <c r="N22" s="163"/>
      <c r="O22" s="266">
        <v>55</v>
      </c>
      <c r="P22" s="293" t="str">
        <f>'Calculos M'!V10</f>
        <v>1ero Grupo F</v>
      </c>
      <c r="Q22" s="276" t="str">
        <f>IF(Quiniela!Q22="","",Quiniela!Q22)</f>
        <v/>
      </c>
      <c r="R22" s="276" t="str">
        <f>IF(Quiniela!R22="","",Quiniela!R22)</f>
        <v/>
      </c>
      <c r="S22" s="295" t="s">
        <v>522</v>
      </c>
      <c r="T22" s="276" t="str">
        <f>IF(Quiniela!T22="","",Quiniela!T22)</f>
        <v/>
      </c>
      <c r="U22" s="276" t="str">
        <f>IF(Quiniela!U22="","",Quiniela!U22)</f>
        <v/>
      </c>
      <c r="V22" s="296" t="str">
        <f>'Calculos M'!AA10</f>
        <v>2do Grupo E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61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'Calculos M'!AR10*Puntos!$H$12</f>
        <v>0</v>
      </c>
      <c r="AF22" s="301">
        <f>'Calculos M'!AS10*Puntos!$H$13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3</v>
      </c>
      <c r="K23" s="312"/>
      <c r="L23" s="163"/>
      <c r="M23" s="163"/>
      <c r="N23" s="163"/>
      <c r="O23" s="266">
        <v>56</v>
      </c>
      <c r="P23" s="313" t="str">
        <f>'Calculos M'!V11</f>
        <v>1ero Grupo H</v>
      </c>
      <c r="Q23" s="276" t="str">
        <f>IF(Quiniela!Q23="","",Quiniela!Q23)</f>
        <v/>
      </c>
      <c r="R23" s="276" t="str">
        <f>IF(Quiniela!R23="","",Quiniela!R23)</f>
        <v/>
      </c>
      <c r="S23" s="315" t="s">
        <v>522</v>
      </c>
      <c r="T23" s="276" t="str">
        <f>IF(Quiniela!T23="","",Quiniela!T23)</f>
        <v/>
      </c>
      <c r="U23" s="276" t="str">
        <f>IF(Quiniela!U23="","",Quiniela!U23)</f>
        <v/>
      </c>
      <c r="V23" s="316" t="str">
        <f>'Calculos M'!AA11</f>
        <v>2do Grupo G</v>
      </c>
      <c r="W23" s="402"/>
      <c r="X23" s="318" t="s">
        <v>74</v>
      </c>
      <c r="Y23" s="319">
        <v>2</v>
      </c>
      <c r="Z23" s="305" t="s">
        <v>522</v>
      </c>
      <c r="AA23" s="319">
        <v>1</v>
      </c>
      <c r="AB23" s="321" t="s">
        <v>70</v>
      </c>
      <c r="AC23" s="384">
        <f>IF(OR(Y23="",AA23=""),0,IF(AND(ISERROR(MATCH($X23,$P$16:$P$23,0)),ISERROR(MATCH($X23,$V$16:$V$23,0))),0,Puntos!$H$14))</f>
        <v>0</v>
      </c>
      <c r="AD23" s="384">
        <f>IF(OR(Y23="",AA23=""),0,IF(AND(ISERROR(MATCH($AB23,$P$16:$P$23,0)),ISERROR(MATCH($AB23,$V$16:$V$23,0))),0,Puntos!$H$14))</f>
        <v>0</v>
      </c>
      <c r="AE23" s="384">
        <f>'Calculos M'!AR11*Puntos!$H$12</f>
        <v>0</v>
      </c>
      <c r="AF23" s="384">
        <f>'Calculos M'!AS11*Puntos!$H$13</f>
        <v>0</v>
      </c>
      <c r="AG23" s="384">
        <f>IF('Octavos de Final'!$G35="",0,'Octavos de Final'!$G35)</f>
        <v>0</v>
      </c>
      <c r="AH23" s="38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10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10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 t="str">
        <f>IF(Quiniela!$C27="","",Quiniela!$C27)</f>
        <v/>
      </c>
      <c r="D27" s="269" t="s">
        <v>522</v>
      </c>
      <c r="E27" s="394" t="str">
        <f>IF(Quiniela!$E27="","",Quiniela!$E27)</f>
        <v/>
      </c>
      <c r="F27" s="408" t="s">
        <v>44</v>
      </c>
      <c r="G27" s="271">
        <v>0</v>
      </c>
      <c r="H27" s="272" t="s">
        <v>24</v>
      </c>
      <c r="I27" s="271">
        <v>0</v>
      </c>
      <c r="J27" s="273">
        <f>IF(AND(Quiniela!$C27&lt;&gt;"",Quiniela!$E27&lt;&gt;"",$G27&lt;&gt;"",$I27&lt;&gt;"",OR(AND(Quiniela!$C27&gt;Quiniela!$E27,$G27&gt;$I27),AND(Quiniela!$C27=Quiniela!$E27,$G27=$I27),AND(Quiniela!$C27&lt;Quiniela!$E27,$G27&lt;$I27))),Puntos!$H$10,0)</f>
        <v>0</v>
      </c>
      <c r="K27" s="273">
        <f>IF(AND(Quiniela!$C27&lt;&gt;"",Quiniela!$E27&lt;&gt;"",$G27&lt;&gt;"",$I27&lt;&gt;"",AND(Quiniela!$C27=$G27,Quiniela!$E27=$I27)),Puntos!$H$11,0)</f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94" t="str">
        <f>IF(Quiniela!$C28="","",Quiniela!$C28)</f>
        <v/>
      </c>
      <c r="D28" s="302" t="s">
        <v>522</v>
      </c>
      <c r="E28" s="394" t="str">
        <f>IF(Quiniela!$E28="","",Quiniela!$E28)</f>
        <v/>
      </c>
      <c r="F28" s="406" t="s">
        <v>46</v>
      </c>
      <c r="G28" s="290">
        <v>3</v>
      </c>
      <c r="H28" s="291" t="s">
        <v>24</v>
      </c>
      <c r="I28" s="290">
        <v>0</v>
      </c>
      <c r="J28" s="273">
        <f>IF(AND(Quiniela!$C28&lt;&gt;"",Quiniela!$E28&lt;&gt;"",$G28&lt;&gt;"",$I28&lt;&gt;"",OR(AND(Quiniela!$C28&gt;Quiniela!$E28,$G28&gt;$I28),AND(Quiniela!$C28=Quiniela!$E28,$G28=$I28),AND(Quiniela!$C28&lt;Quiniela!$E28,$G28&lt;$I28))),Puntos!$H$10,0)</f>
        <v>0</v>
      </c>
      <c r="K28" s="273">
        <f>IF(AND(Quiniela!$C28&lt;&gt;"",Quiniela!$E28&lt;&gt;"",$G28&lt;&gt;"",$I28&lt;&gt;"",AND(Quiniela!$C28=$G28,Quiniela!$E28=$I28)),Puntos!$H$11,0)</f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94" t="str">
        <f>IF(Quiniela!$C29="","",Quiniela!$C29)</f>
        <v/>
      </c>
      <c r="D29" s="302" t="s">
        <v>522</v>
      </c>
      <c r="E29" s="394" t="str">
        <f>IF(Quiniela!$E29="","",Quiniela!$E29)</f>
        <v/>
      </c>
      <c r="F29" s="406" t="s">
        <v>44</v>
      </c>
      <c r="G29" s="290">
        <v>1</v>
      </c>
      <c r="H29" s="291" t="s">
        <v>24</v>
      </c>
      <c r="I29" s="290">
        <v>3</v>
      </c>
      <c r="J29" s="273">
        <f>IF(AND(Quiniela!$C29&lt;&gt;"",Quiniela!$E29&lt;&gt;"",$G29&lt;&gt;"",$I29&lt;&gt;"",OR(AND(Quiniela!$C29&gt;Quiniela!$E29,$G29&gt;$I29),AND(Quiniela!$C29=Quiniela!$E29,$G29=$I29),AND(Quiniela!$C29&lt;Quiniela!$E29,$G29&lt;$I29))),Puntos!$H$10,0)</f>
        <v>0</v>
      </c>
      <c r="K29" s="273">
        <f>IF(AND(Quiniela!$C29&lt;&gt;"",Quiniela!$E29&lt;&gt;"",$G29&lt;&gt;"",$I29&lt;&gt;"",AND(Quiniela!$C29=$G29,Quiniela!$E29=$I29)),Puntos!$H$11,0)</f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94" t="str">
        <f>IF(Quiniela!$C30="","",Quiniela!$C30)</f>
        <v/>
      </c>
      <c r="D30" s="302" t="s">
        <v>522</v>
      </c>
      <c r="E30" s="394" t="str">
        <f>IF(Quiniela!$E30="","",Quiniela!$E30)</f>
        <v/>
      </c>
      <c r="F30" s="406" t="s">
        <v>45</v>
      </c>
      <c r="G30" s="290">
        <v>4</v>
      </c>
      <c r="H30" s="291" t="s">
        <v>24</v>
      </c>
      <c r="I30" s="290">
        <v>1</v>
      </c>
      <c r="J30" s="273">
        <f>IF(AND(Quiniela!$C30&lt;&gt;"",Quiniela!$E30&lt;&gt;"",$G30&lt;&gt;"",$I30&lt;&gt;"",OR(AND(Quiniela!$C30&gt;Quiniela!$E30,$G30&gt;$I30),AND(Quiniela!$C30=Quiniela!$E30,$G30=$I30),AND(Quiniela!$C30&lt;Quiniela!$E30,$G30&lt;$I30))),Puntos!$H$10,0)</f>
        <v>0</v>
      </c>
      <c r="K30" s="273">
        <f>IF(AND(Quiniela!$C30&lt;&gt;"",Quiniela!$E30&lt;&gt;"",$G30&lt;&gt;"",$I30&lt;&gt;"",AND(Quiniela!$C30=$G30,Quiniela!$E30=$I30)),Puntos!$H$11,0)</f>
        <v>0</v>
      </c>
      <c r="L30" s="163"/>
      <c r="M30" s="392" t="s">
        <v>134</v>
      </c>
      <c r="N30" s="391"/>
      <c r="O30" s="266">
        <v>57</v>
      </c>
      <c r="P30" s="275" t="str">
        <f>IF(OR(P16="1ero Grupo A",V16="2do Grupo B",Q16="",U16=""),"OF1",IF((Q16+R16)&gt;(T16+U16),P16,V16))</f>
        <v>OF1</v>
      </c>
      <c r="Q30" s="276" t="str">
        <f>IF(Quiniela!Q30="","",Quiniela!Q30)</f>
        <v/>
      </c>
      <c r="R30" s="276" t="str">
        <f>IF(Quiniela!R30="","",Quiniela!R30)</f>
        <v/>
      </c>
      <c r="S30" s="278" t="s">
        <v>522</v>
      </c>
      <c r="T30" s="276" t="str">
        <f>IF(Quiniela!T30="","",Quiniela!T30)</f>
        <v/>
      </c>
      <c r="U30" s="276" t="str">
        <f>IF(Quiniela!U30="","",Quiniela!U30)</f>
        <v/>
      </c>
      <c r="V30" s="279" t="str">
        <f>IF(OR(P17="1ero Grupo C",V17="2do Grupo D",Q17="",U17=""),"OF2",IF((Q17+R17)&gt;(T17+U17),P17,V17))</f>
        <v>OF2</v>
      </c>
      <c r="W30" s="403"/>
      <c r="X30" s="281" t="s">
        <v>25</v>
      </c>
      <c r="Y30" s="282">
        <v>1</v>
      </c>
      <c r="Z30" s="269" t="s">
        <v>522</v>
      </c>
      <c r="AA30" s="282">
        <v>0</v>
      </c>
      <c r="AB30" s="284" t="s">
        <v>49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'Calculos M'!AR12*Puntos!$H$12</f>
        <v>0</v>
      </c>
      <c r="AF30" s="285">
        <f>'Calculos M'!AS12*Puntos!$H$13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94" t="str">
        <f>IF(Quiniela!$C31="","",Quiniela!$C31)</f>
        <v/>
      </c>
      <c r="D31" s="302" t="s">
        <v>522</v>
      </c>
      <c r="E31" s="394" t="str">
        <f>IF(Quiniela!$E31="","",Quiniela!$E31)</f>
        <v/>
      </c>
      <c r="F31" s="406" t="s">
        <v>43</v>
      </c>
      <c r="G31" s="290">
        <v>0</v>
      </c>
      <c r="H31" s="291" t="s">
        <v>24</v>
      </c>
      <c r="I31" s="290">
        <v>3</v>
      </c>
      <c r="J31" s="273">
        <f>IF(AND(Quiniela!$C31&lt;&gt;"",Quiniela!$E31&lt;&gt;"",$G31&lt;&gt;"",$I31&lt;&gt;"",OR(AND(Quiniela!$C31&gt;Quiniela!$E31,$G31&gt;$I31),AND(Quiniela!$C31=Quiniela!$E31,$G31=$I31),AND(Quiniela!$C31&lt;Quiniela!$E31,$G31&lt;$I31))),Puntos!$H$10,0)</f>
        <v>0</v>
      </c>
      <c r="K31" s="273">
        <f>IF(AND(Quiniela!$C31&lt;&gt;"",Quiniela!$E31&lt;&gt;"",$G31&lt;&gt;"",$I31&lt;&gt;"",AND(Quiniela!$C31=$G31,Quiniela!$E31=$I31)),Puntos!$H$11,0)</f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76" t="str">
        <f>IF(Quiniela!Q31="","",Quiniela!Q31)</f>
        <v/>
      </c>
      <c r="R31" s="276" t="str">
        <f>IF(Quiniela!R31="","",Quiniela!R31)</f>
        <v/>
      </c>
      <c r="S31" s="278" t="s">
        <v>522</v>
      </c>
      <c r="T31" s="276" t="str">
        <f>IF(Quiniela!T31="","",Quiniela!T31)</f>
        <v/>
      </c>
      <c r="U31" s="276" t="str">
        <f>IF(Quiniela!U31="","",Quiniela!U31)</f>
        <v/>
      </c>
      <c r="V31" s="296" t="str">
        <f>IF(OR(P21="1ero Grupo G",V21="2do Grupo H",Q21="",U21=""),"OF6",IF((Q21+R21)&gt;(T21+U21),P21,V21))</f>
        <v>OF6</v>
      </c>
      <c r="W31" s="397"/>
      <c r="X31" s="298" t="s">
        <v>60</v>
      </c>
      <c r="Y31" s="299">
        <v>1</v>
      </c>
      <c r="Z31" s="302" t="s">
        <v>522</v>
      </c>
      <c r="AA31" s="299">
        <v>3</v>
      </c>
      <c r="AB31" s="300" t="s">
        <v>69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'Calculos M'!AR13*Puntos!$H$12</f>
        <v>0</v>
      </c>
      <c r="AF31" s="301">
        <f>'Calculos M'!AS13*Puntos!$H$13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94" t="str">
        <f>IF(Quiniela!$C32="","",Quiniela!$C32)</f>
        <v/>
      </c>
      <c r="D32" s="305" t="s">
        <v>522</v>
      </c>
      <c r="E32" s="394" t="str">
        <f>IF(Quiniela!$E32="","",Quiniela!$E32)</f>
        <v/>
      </c>
      <c r="F32" s="404" t="s">
        <v>45</v>
      </c>
      <c r="G32" s="307">
        <v>1</v>
      </c>
      <c r="H32" s="308" t="s">
        <v>24</v>
      </c>
      <c r="I32" s="307">
        <v>1</v>
      </c>
      <c r="J32" s="273">
        <f>IF(AND(Quiniela!$C32&lt;&gt;"",Quiniela!$E32&lt;&gt;"",$G32&lt;&gt;"",$I32&lt;&gt;"",OR(AND(Quiniela!$C32&gt;Quiniela!$E32,$G32&gt;$I32),AND(Quiniela!$C32=Quiniela!$E32,$G32=$I32),AND(Quiniela!$C32&lt;Quiniela!$E32,$G32&lt;$I32))),Puntos!$H$10,0)</f>
        <v>0</v>
      </c>
      <c r="K32" s="273">
        <f>IF(AND(Quiniela!$C32&lt;&gt;"",Quiniela!$E32&lt;&gt;"",$G32&lt;&gt;"",$I32&lt;&gt;"",AND(Quiniela!$C32=$G32,Quiniela!$E32=$I32)),Puntos!$H$11,0)</f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76" t="str">
        <f>IF(Quiniela!Q32="","",Quiniela!Q32)</f>
        <v/>
      </c>
      <c r="R32" s="276" t="str">
        <f>IF(Quiniela!R32="","",Quiniela!R32)</f>
        <v/>
      </c>
      <c r="S32" s="278" t="s">
        <v>522</v>
      </c>
      <c r="T32" s="276" t="str">
        <f>IF(Quiniela!T32="","",Quiniela!T32)</f>
        <v/>
      </c>
      <c r="U32" s="276" t="str">
        <f>IF(Quiniela!U32="","",Quiniela!U32)</f>
        <v/>
      </c>
      <c r="V32" s="296" t="str">
        <f>IF(OR(P19="1ero Grupo D",V19="2do Grupo C",Q19="",U19=""),"OF4",IF((Q19+R19)&gt;(T19+U19),P19,V19))</f>
        <v>OF4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'Calculos M'!AR14*Puntos!$H$12</f>
        <v>0</v>
      </c>
      <c r="AF32" s="301">
        <f>'Calculos M'!AS14*Puntos!$H$13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276" t="str">
        <f>IF(Quiniela!Q33="","",Quiniela!Q33)</f>
        <v/>
      </c>
      <c r="R33" s="276" t="str">
        <f>IF(Quiniela!R33="","",Quiniela!R33)</f>
        <v/>
      </c>
      <c r="S33" s="278" t="s">
        <v>522</v>
      </c>
      <c r="T33" s="276" t="str">
        <f>IF(Quiniela!T33="","",Quiniela!T33)</f>
        <v/>
      </c>
      <c r="U33" s="276" t="str">
        <f>IF(Quiniela!U33="","",Quiniela!U33)</f>
        <v/>
      </c>
      <c r="V33" s="316" t="str">
        <f>IF(OR(P23="1ero Grupo H",V23="2do Grupo G",Q23="",U23=""),"OF8",IF((Q23+R23)&gt;(T23+U23),P23,V23))</f>
        <v>OF8</v>
      </c>
      <c r="W33" s="402"/>
      <c r="X33" s="318" t="s">
        <v>64</v>
      </c>
      <c r="Y33" s="319">
        <v>2</v>
      </c>
      <c r="Z33" s="305" t="s">
        <v>522</v>
      </c>
      <c r="AA33" s="319">
        <v>0</v>
      </c>
      <c r="AB33" s="321" t="s">
        <v>74</v>
      </c>
      <c r="AC33" s="384">
        <f>IF(OR(Y33="",AA33=""),0,IF(AND(ISERROR(MATCH($X33,$P$30:$P$33,0)),ISERROR(MATCH($X33,$V$30:$V$33,0))),0,Puntos!$H$15))</f>
        <v>0</v>
      </c>
      <c r="AD33" s="384">
        <f>IF(OR(Y33="",AA33=""),0,IF(AND(ISERROR(MATCH($AB33,$P$30:$P$33,0)),ISERROR(MATCH($AB33,$V$30:$V$33,0))),0,Puntos!$H$15))</f>
        <v>0</v>
      </c>
      <c r="AE33" s="384">
        <f>'Calculos M'!AR15*Puntos!$H$12</f>
        <v>0</v>
      </c>
      <c r="AF33" s="384">
        <f>'Calculos M'!AS15*Puntos!$H$13</f>
        <v>0</v>
      </c>
      <c r="AG33" s="384">
        <f>IF('Cuartos de Final'!$G19="",0,'Cuartos de Final'!$G19)</f>
        <v>0</v>
      </c>
      <c r="AH33" s="38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 t="str">
        <f>IF(Quiniela!$C38="","",Quiniela!$C38)</f>
        <v/>
      </c>
      <c r="D38" s="269" t="s">
        <v>522</v>
      </c>
      <c r="E38" s="394" t="str">
        <f>IF(Quiniela!$E38="","",Quiniela!$E38)</f>
        <v/>
      </c>
      <c r="F38" s="393" t="s">
        <v>50</v>
      </c>
      <c r="G38" s="271">
        <v>2</v>
      </c>
      <c r="H38" s="272" t="s">
        <v>24</v>
      </c>
      <c r="I38" s="271">
        <v>1</v>
      </c>
      <c r="J38" s="273">
        <f>IF(AND(Quiniela!$C38&lt;&gt;"",Quiniela!$E38&lt;&gt;"",$G38&lt;&gt;"",$I38&lt;&gt;"",OR(AND(Quiniela!$C38&gt;Quiniela!$E38,$G38&gt;$I38),AND(Quiniela!$C38=Quiniela!$E38,$G38=$I38),AND(Quiniela!$C38&lt;Quiniela!$E38,$G38&lt;$I38))),Puntos!$H$10,0)</f>
        <v>0</v>
      </c>
      <c r="K38" s="273">
        <f>IF(AND(Quiniela!$C38&lt;&gt;"",Quiniela!$E38&lt;&gt;"",$G38&lt;&gt;"",$I38&lt;&gt;"",AND(Quiniela!$C38=$G38,Quiniela!$E38=$I38)),Puntos!$H$11,0)</f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94" t="str">
        <f>IF(Quiniela!$C39="","",Quiniela!$C39)</f>
        <v/>
      </c>
      <c r="D39" s="302" t="s">
        <v>522</v>
      </c>
      <c r="E39" s="394" t="str">
        <f>IF(Quiniela!$E39="","",Quiniela!$E39)</f>
        <v/>
      </c>
      <c r="F39" s="388" t="s">
        <v>52</v>
      </c>
      <c r="G39" s="290">
        <v>2</v>
      </c>
      <c r="H39" s="291" t="s">
        <v>24</v>
      </c>
      <c r="I39" s="290">
        <v>1</v>
      </c>
      <c r="J39" s="273">
        <f>IF(AND(Quiniela!$C39&lt;&gt;"",Quiniela!$E39&lt;&gt;"",$G39&lt;&gt;"",$I39&lt;&gt;"",OR(AND(Quiniela!$C39&gt;Quiniela!$E39,$G39&gt;$I39),AND(Quiniela!$C39=Quiniela!$E39,$G39=$I39),AND(Quiniela!$C39&lt;Quiniela!$E39,$G39&lt;$I39))),Puntos!$H$10,0)</f>
        <v>0</v>
      </c>
      <c r="K39" s="273">
        <f>IF(AND(Quiniela!$C39&lt;&gt;"",Quiniela!$E39&lt;&gt;"",$G39&lt;&gt;"",$I39&lt;&gt;"",AND(Quiniela!$C39=$G39,Quiniela!$E39=$I39)),Puntos!$H$11,0)</f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381"/>
      <c r="AA39" s="381"/>
      <c r="AB39" s="381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94" t="str">
        <f>IF(Quiniela!$C40="","",Quiniela!$C40)</f>
        <v/>
      </c>
      <c r="D40" s="302" t="s">
        <v>522</v>
      </c>
      <c r="E40" s="394" t="str">
        <f>IF(Quiniela!$E40="","",Quiniela!$E40)</f>
        <v/>
      </c>
      <c r="F40" s="388" t="s">
        <v>51</v>
      </c>
      <c r="G40" s="290">
        <v>2</v>
      </c>
      <c r="H40" s="291" t="s">
        <v>24</v>
      </c>
      <c r="I40" s="290">
        <v>1</v>
      </c>
      <c r="J40" s="273">
        <f>IF(AND(Quiniela!$C40&lt;&gt;"",Quiniela!$E40&lt;&gt;"",$G40&lt;&gt;"",$I40&lt;&gt;"",OR(AND(Quiniela!$C40&gt;Quiniela!$E40,$G40&gt;$I40),AND(Quiniela!$C40=Quiniela!$E40,$G40=$I40),AND(Quiniela!$C40&lt;Quiniela!$E40,$G40&lt;$I40))),Puntos!$H$10,0)</f>
        <v>0</v>
      </c>
      <c r="K40" s="273">
        <f>IF(AND(Quiniela!$C40&lt;&gt;"",Quiniela!$E40&lt;&gt;"",$G40&lt;&gt;"",$I40&lt;&gt;"",AND(Quiniela!$C40=$G40,Quiniela!$E40=$I40)),Puntos!$H$11,0)</f>
        <v>0</v>
      </c>
      <c r="L40" s="163"/>
      <c r="M40" s="392" t="s">
        <v>141</v>
      </c>
      <c r="N40" s="391"/>
      <c r="O40" s="266">
        <v>61</v>
      </c>
      <c r="P40" s="275" t="str">
        <f>IF(OR(P30="OF1",V30="OF2",Q30="",U30=""),"CF1",IF((Q30+R30)&gt;(T30+U30),P30,V30))</f>
        <v>CF1</v>
      </c>
      <c r="Q40" s="276" t="str">
        <f>IF(Quiniela!Q40="","",Quiniela!Q40)</f>
        <v/>
      </c>
      <c r="R40" s="276" t="str">
        <f>IF(Quiniela!R40="","",Quiniela!R40)</f>
        <v/>
      </c>
      <c r="S40" s="278" t="s">
        <v>522</v>
      </c>
      <c r="T40" s="276" t="str">
        <f>IF(Quiniela!T40="","",Quiniela!T40)</f>
        <v/>
      </c>
      <c r="U40" s="276" t="str">
        <f>IF(Quiniela!U40="","",Quiniela!U40)</f>
        <v/>
      </c>
      <c r="V40" s="279" t="str">
        <f>IF(OR(P31="OF5",V31="OF6",Q31="",U31=""),"CF2",IF((Q31+R31)&gt;(T31+U31),P31,V31))</f>
        <v>CF2</v>
      </c>
      <c r="W40" s="403"/>
      <c r="X40" s="281" t="s">
        <v>25</v>
      </c>
      <c r="Y40" s="282">
        <v>1</v>
      </c>
      <c r="Z40" s="269" t="s">
        <v>522</v>
      </c>
      <c r="AA40" s="282">
        <v>1</v>
      </c>
      <c r="AB40" s="284" t="s">
        <v>69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'Calculos M'!AR16*Puntos!$H$12</f>
        <v>0</v>
      </c>
      <c r="AF40" s="285">
        <f>'Calculos M'!AS16*Puntos!$H$13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94" t="str">
        <f>IF(Quiniela!$C41="","",Quiniela!$C41)</f>
        <v/>
      </c>
      <c r="D41" s="302" t="s">
        <v>522</v>
      </c>
      <c r="E41" s="394" t="str">
        <f>IF(Quiniela!$E41="","",Quiniela!$E41)</f>
        <v/>
      </c>
      <c r="F41" s="388" t="s">
        <v>50</v>
      </c>
      <c r="G41" s="290">
        <v>1</v>
      </c>
      <c r="H41" s="291" t="s">
        <v>24</v>
      </c>
      <c r="I41" s="290">
        <v>0</v>
      </c>
      <c r="J41" s="273">
        <f>IF(AND(Quiniela!$C41&lt;&gt;"",Quiniela!$E41&lt;&gt;"",$G41&lt;&gt;"",$I41&lt;&gt;"",OR(AND(Quiniela!$C41&gt;Quiniela!$E41,$G41&gt;$I41),AND(Quiniela!$C41=Quiniela!$E41,$G41=$I41),AND(Quiniela!$C41&lt;Quiniela!$E41,$G41&lt;$I41))),Puntos!$H$10,0)</f>
        <v>0</v>
      </c>
      <c r="K41" s="273">
        <f>IF(AND(Quiniela!$C41&lt;&gt;"",Quiniela!$E41&lt;&gt;"",$G41&lt;&gt;"",$I41&lt;&gt;"",AND(Quiniela!$C41=$G41,Quiniela!$E41=$I41)),Puntos!$H$11,0)</f>
        <v>0</v>
      </c>
      <c r="L41" s="163"/>
      <c r="M41" s="392" t="s">
        <v>148</v>
      </c>
      <c r="N41" s="391"/>
      <c r="O41" s="266">
        <v>62</v>
      </c>
      <c r="P41" s="313" t="str">
        <f>IF(OR(P32="OF3",V32="OF4",Q32="",U32=""),"CF3",IF((Q32+R32)&gt;(T32+U32),P32,V32))</f>
        <v>CF3</v>
      </c>
      <c r="Q41" s="276" t="str">
        <f>IF(Quiniela!Q41="","",Quiniela!Q41)</f>
        <v/>
      </c>
      <c r="R41" s="276" t="str">
        <f>IF(Quiniela!R41="","",Quiniela!R41)</f>
        <v/>
      </c>
      <c r="S41" s="278" t="s">
        <v>522</v>
      </c>
      <c r="T41" s="276" t="str">
        <f>IF(Quiniela!T41="","",Quiniela!T41)</f>
        <v/>
      </c>
      <c r="U41" s="276" t="str">
        <f>IF(Quiniela!U41="","",Quiniela!U41)</f>
        <v/>
      </c>
      <c r="V41" s="316" t="str">
        <f>IF(OR(P33="OF7",V33="OF8",Q33="",U33=""),"CF4",IF((Q33+R33)&gt;(T33+U33),P33,V33))</f>
        <v>CF4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384">
        <f>IF(OR(Y41="",AA41=""),0,IF(AND(ISERROR(MATCH($X41,$P$40:$P$41,0)),ISERROR(MATCH($X41,$V$40:$V$41,0))),0,Puntos!$H$16))</f>
        <v>0</v>
      </c>
      <c r="AD41" s="384">
        <f>IF(OR(Y41="",AA41=""),0,IF(AND(ISERROR(MATCH($AB41,$P$40:$P$41,0)),ISERROR(MATCH($AB41,$V$40:$V$41,0))),0,Puntos!$H$16))</f>
        <v>0</v>
      </c>
      <c r="AE41" s="384">
        <f>'Calculos M'!AR17*Puntos!$H$12</f>
        <v>0</v>
      </c>
      <c r="AF41" s="384">
        <f>'Calculos M'!AS17*Puntos!$H$13</f>
        <v>0</v>
      </c>
      <c r="AG41" s="384">
        <f>IF(Semifinal!$G11="",0,Semifinal!$G11)</f>
        <v>0</v>
      </c>
      <c r="AH41" s="38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94" t="str">
        <f>IF(Quiniela!$C42="","",Quiniela!$C42)</f>
        <v/>
      </c>
      <c r="D42" s="302" t="s">
        <v>522</v>
      </c>
      <c r="E42" s="394" t="str">
        <f>IF(Quiniela!$E42="","",Quiniela!$E42)</f>
        <v/>
      </c>
      <c r="F42" s="388" t="s">
        <v>49</v>
      </c>
      <c r="G42" s="290">
        <v>0</v>
      </c>
      <c r="H42" s="291" t="s">
        <v>24</v>
      </c>
      <c r="I42" s="290">
        <v>0</v>
      </c>
      <c r="J42" s="273">
        <f>IF(AND(Quiniela!$C42&lt;&gt;"",Quiniela!$E42&lt;&gt;"",$G42&lt;&gt;"",$I42&lt;&gt;"",OR(AND(Quiniela!$C42&gt;Quiniela!$E42,$G42&gt;$I42),AND(Quiniela!$C42=Quiniela!$E42,$G42=$I42),AND(Quiniela!$C42&lt;Quiniela!$E42,$G42&lt;$I42))),Puntos!$H$10,0)</f>
        <v>0</v>
      </c>
      <c r="K42" s="273">
        <f>IF(AND(Quiniela!$C42&lt;&gt;"",Quiniela!$E42&lt;&gt;"",$G42&lt;&gt;"",$I42&lt;&gt;"",AND(Quiniela!$C42=$G42,Quiniela!$E42=$I42)),Puntos!$H$11,0)</f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94" t="str">
        <f>IF(Quiniela!$C43="","",Quiniela!$C43)</f>
        <v/>
      </c>
      <c r="D43" s="305" t="s">
        <v>522</v>
      </c>
      <c r="E43" s="394" t="str">
        <f>IF(Quiniela!$E43="","",Quiniela!$E43)</f>
        <v/>
      </c>
      <c r="F43" s="385" t="s">
        <v>51</v>
      </c>
      <c r="G43" s="307">
        <v>1</v>
      </c>
      <c r="H43" s="308" t="s">
        <v>24</v>
      </c>
      <c r="I43" s="307">
        <v>1</v>
      </c>
      <c r="J43" s="273">
        <f>IF(AND(Quiniela!$C43&lt;&gt;"",Quiniela!$E43&lt;&gt;"",$G43&lt;&gt;"",$I43&lt;&gt;"",OR(AND(Quiniela!$C43&gt;Quiniela!$E43,$G43&gt;$I43),AND(Quiniela!$C43=Quiniela!$E43,$G43=$I43),AND(Quiniela!$C43&lt;Quiniela!$E43,$G43&lt;$I43))),Puntos!$H$10,0)</f>
        <v>0</v>
      </c>
      <c r="K43" s="273">
        <f>IF(AND(Quiniela!$C43&lt;&gt;"",Quiniela!$E43&lt;&gt;"",$G43&lt;&gt;"",$I43&lt;&gt;"",AND(Quiniela!$C43=$G43,Quiniela!$E43=$I43)),Puntos!$H$11,0)</f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381"/>
      <c r="AA47" s="381"/>
      <c r="AB47" s="381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276" t="str">
        <f>IF(Quiniela!Q48="","",Quiniela!Q48)</f>
        <v/>
      </c>
      <c r="R48" s="276" t="str">
        <f>IF(Quiniela!R48="","",Quiniela!R48)</f>
        <v/>
      </c>
      <c r="S48" s="278" t="s">
        <v>522</v>
      </c>
      <c r="T48" s="276" t="str">
        <f>IF(Quiniela!T48="","",Quiniela!T48)</f>
        <v/>
      </c>
      <c r="U48" s="276" t="str">
        <f>IF(Quiniela!U48="","",Quiniela!U48)</f>
        <v/>
      </c>
      <c r="V48" s="338" t="str">
        <f>IF(OR(P41="CF3",V41="CF4",Q41="",U41=""),"P-SF2",IF((Q41+R41)&gt;(T41+U41),V41,P41))</f>
        <v>P-SF2</v>
      </c>
      <c r="W48" s="401"/>
      <c r="X48" s="340" t="s">
        <v>69</v>
      </c>
      <c r="Y48" s="341">
        <v>3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f>'Calculos M'!AR18*Puntos!$H$12</f>
        <v>0</v>
      </c>
      <c r="AF48" s="344">
        <f>'Calculos M'!AS18*Puntos!$H$13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 t="str">
        <f>IF(Quiniela!$C49="","",Quiniela!$C49)</f>
        <v/>
      </c>
      <c r="D49" s="269" t="s">
        <v>522</v>
      </c>
      <c r="E49" s="394" t="str">
        <f>IF(Quiniela!$E49="","",Quiniela!$E49)</f>
        <v/>
      </c>
      <c r="F49" s="393" t="s">
        <v>55</v>
      </c>
      <c r="G49" s="271">
        <v>2</v>
      </c>
      <c r="H49" s="272" t="s">
        <v>24</v>
      </c>
      <c r="I49" s="271">
        <v>0</v>
      </c>
      <c r="J49" s="273">
        <f>IF(AND(Quiniela!$C49&lt;&gt;"",Quiniela!$E49&lt;&gt;"",$G49&lt;&gt;"",$I49&lt;&gt;"",OR(AND(Quiniela!$C49&gt;Quiniela!$E49,$G49&gt;$I49),AND(Quiniela!$C49=Quiniela!$E49,$G49=$I49),AND(Quiniela!$C49&lt;Quiniela!$E49,$G49&lt;$I49))),Puntos!$H$10,0)</f>
        <v>0</v>
      </c>
      <c r="K49" s="273">
        <f>IF(AND(Quiniela!$C49&lt;&gt;"",Quiniela!$E49&lt;&gt;"",$G49&lt;&gt;"",$I49&lt;&gt;"",AND(Quiniela!$C49=$G49,Quiniela!$E49=$I49)),Puntos!$H$11,0)</f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94" t="str">
        <f>IF(Quiniela!$C50="","",Quiniela!$C50)</f>
        <v/>
      </c>
      <c r="D50" s="302" t="s">
        <v>522</v>
      </c>
      <c r="E50" s="394" t="str">
        <f>IF(Quiniela!$E50="","",Quiniela!$E50)</f>
        <v/>
      </c>
      <c r="F50" s="388" t="s">
        <v>57</v>
      </c>
      <c r="G50" s="290">
        <v>1</v>
      </c>
      <c r="H50" s="291" t="s">
        <v>24</v>
      </c>
      <c r="I50" s="290">
        <v>1</v>
      </c>
      <c r="J50" s="273">
        <f>IF(AND(Quiniela!$C50&lt;&gt;"",Quiniela!$E50&lt;&gt;"",$G50&lt;&gt;"",$I50&lt;&gt;"",OR(AND(Quiniela!$C50&gt;Quiniela!$E50,$G50&gt;$I50),AND(Quiniela!$C50=Quiniela!$E50,$G50=$I50),AND(Quiniela!$C50&lt;Quiniela!$E50,$G50&lt;$I50))),Puntos!$H$10,0)</f>
        <v>0</v>
      </c>
      <c r="K50" s="273">
        <f>IF(AND(Quiniela!$C50&lt;&gt;"",Quiniela!$E50&lt;&gt;"",$G50&lt;&gt;"",$I50&lt;&gt;"",AND(Quiniela!$C50=$G50,Quiniela!$E50=$I50)),Puntos!$H$11,0)</f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94" t="str">
        <f>IF(Quiniela!$C51="","",Quiniela!$C51)</f>
        <v/>
      </c>
      <c r="D51" s="302" t="s">
        <v>522</v>
      </c>
      <c r="E51" s="394" t="str">
        <f>IF(Quiniela!$E51="","",Quiniela!$E51)</f>
        <v/>
      </c>
      <c r="F51" s="388" t="s">
        <v>56</v>
      </c>
      <c r="G51" s="290">
        <v>3</v>
      </c>
      <c r="H51" s="291" t="s">
        <v>24</v>
      </c>
      <c r="I51" s="290">
        <v>2</v>
      </c>
      <c r="J51" s="273">
        <f>IF(AND(Quiniela!$C51&lt;&gt;"",Quiniela!$E51&lt;&gt;"",$G51&lt;&gt;"",$I51&lt;&gt;"",OR(AND(Quiniela!$C51&gt;Quiniela!$E51,$G51&gt;$I51),AND(Quiniela!$C51=Quiniela!$E51,$G51=$I51),AND(Quiniela!$C51&lt;Quiniela!$E51,$G51&lt;$I51))),Puntos!$H$10,0)</f>
        <v>0</v>
      </c>
      <c r="K51" s="273">
        <f>IF(AND(Quiniela!$C51&lt;&gt;"",Quiniela!$E51&lt;&gt;"",$G51&lt;&gt;"",$I51&lt;&gt;"",AND(Quiniela!$C51=$G51,Quiniela!$E51=$I51)),Puntos!$H$11,0)</f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94" t="str">
        <f>IF(Quiniela!$C52="","",Quiniela!$C52)</f>
        <v/>
      </c>
      <c r="D52" s="302" t="s">
        <v>522</v>
      </c>
      <c r="E52" s="394" t="str">
        <f>IF(Quiniela!$E52="","",Quiniela!$E52)</f>
        <v/>
      </c>
      <c r="F52" s="388" t="s">
        <v>55</v>
      </c>
      <c r="G52" s="290">
        <v>1</v>
      </c>
      <c r="H52" s="291" t="s">
        <v>24</v>
      </c>
      <c r="I52" s="290">
        <v>0</v>
      </c>
      <c r="J52" s="273">
        <f>IF(AND(Quiniela!$C52&lt;&gt;"",Quiniela!$E52&lt;&gt;"",$G52&lt;&gt;"",$I52&lt;&gt;"",OR(AND(Quiniela!$C52&gt;Quiniela!$E52,$G52&gt;$I52),AND(Quiniela!$C52=Quiniela!$E52,$G52=$I52),AND(Quiniela!$C52&lt;Quiniela!$E52,$G52&lt;$I52))),Puntos!$H$10,0)</f>
        <v>0</v>
      </c>
      <c r="K52" s="273">
        <f>IF(AND(Quiniela!$C52&lt;&gt;"",Quiniela!$E52&lt;&gt;"",$G52&lt;&gt;"",$I52&lt;&gt;"",AND(Quiniela!$C52=$G52,Quiniela!$E52=$I52)),Puntos!$H$11,0)</f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94" t="str">
        <f>IF(Quiniela!$C53="","",Quiniela!$C53)</f>
        <v/>
      </c>
      <c r="D53" s="302" t="s">
        <v>522</v>
      </c>
      <c r="E53" s="394" t="str">
        <f>IF(Quiniela!$E53="","",Quiniela!$E53)</f>
        <v/>
      </c>
      <c r="F53" s="388" t="s">
        <v>54</v>
      </c>
      <c r="G53" s="290">
        <v>1</v>
      </c>
      <c r="H53" s="291" t="s">
        <v>24</v>
      </c>
      <c r="I53" s="290">
        <v>1</v>
      </c>
      <c r="J53" s="273">
        <f>IF(AND(Quiniela!$C53&lt;&gt;"",Quiniela!$E53&lt;&gt;"",$G53&lt;&gt;"",$I53&lt;&gt;"",OR(AND(Quiniela!$C53&gt;Quiniela!$E53,$G53&gt;$I53),AND(Quiniela!$C53=Quiniela!$E53,$G53=$I53),AND(Quiniela!$C53&lt;Quiniela!$E53,$G53&lt;$I53))),Puntos!$H$10,0)</f>
        <v>0</v>
      </c>
      <c r="K53" s="273">
        <f>IF(AND(Quiniela!$C53&lt;&gt;"",Quiniela!$E53&lt;&gt;"",$G53&lt;&gt;"",$I53&lt;&gt;"",AND(Quiniela!$C53=$G53,Quiniela!$E53=$I53)),Puntos!$H$11,0)</f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94" t="str">
        <f>IF(Quiniela!$C54="","",Quiniela!$C54)</f>
        <v/>
      </c>
      <c r="D54" s="305" t="s">
        <v>522</v>
      </c>
      <c r="E54" s="394" t="str">
        <f>IF(Quiniela!$E54="","",Quiniela!$E54)</f>
        <v/>
      </c>
      <c r="F54" s="385" t="s">
        <v>56</v>
      </c>
      <c r="G54" s="307">
        <v>1</v>
      </c>
      <c r="H54" s="308" t="s">
        <v>24</v>
      </c>
      <c r="I54" s="307">
        <v>2</v>
      </c>
      <c r="J54" s="273">
        <f>IF(AND(Quiniela!$C54&lt;&gt;"",Quiniela!$E54&lt;&gt;"",$G54&lt;&gt;"",$I54&lt;&gt;"",OR(AND(Quiniela!$C54&gt;Quiniela!$E54,$G54&gt;$I54),AND(Quiniela!$C54=Quiniela!$E54,$G54=$I54),AND(Quiniela!$C54&lt;Quiniela!$E54,$G54&lt;$I54))),Puntos!$H$10,0)</f>
        <v>0</v>
      </c>
      <c r="K54" s="273">
        <f>IF(AND(Quiniela!$C54&lt;&gt;"",Quiniela!$E54&lt;&gt;"",$G54&lt;&gt;"",$I54&lt;&gt;"",AND(Quiniela!$C54=$G54,Quiniela!$E54=$I54)),Puntos!$H$11,0)</f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381"/>
      <c r="AA54" s="381"/>
      <c r="AB54" s="381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276" t="str">
        <f>IF(Quiniela!Q55="","",Quiniela!Q55)</f>
        <v/>
      </c>
      <c r="R55" s="276" t="str">
        <f>IF(Quiniela!R55="","",Quiniela!R55)</f>
        <v/>
      </c>
      <c r="S55" s="278" t="s">
        <v>522</v>
      </c>
      <c r="T55" s="276" t="str">
        <f>IF(Quiniela!T55="","",Quiniela!T55)</f>
        <v/>
      </c>
      <c r="U55" s="276" t="str">
        <f>IF(Quiniela!U55="","",Quiniela!U55)</f>
        <v/>
      </c>
      <c r="V55" s="338" t="str">
        <f>IF(OR(P41="CF3",V41="CF4",Q41="",U41=""),"G-SF2",IF((Q41+R41)&lt;(T41+U41),V41,P41))</f>
        <v>G-SF2</v>
      </c>
      <c r="W55" s="401"/>
      <c r="X55" s="340" t="s">
        <v>25</v>
      </c>
      <c r="Y55" s="341">
        <v>3</v>
      </c>
      <c r="Z55" s="400" t="s">
        <v>522</v>
      </c>
      <c r="AA55" s="341">
        <v>0</v>
      </c>
      <c r="AB55" s="343" t="s">
        <v>64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'Calculos M'!AR19*Puntos!$H$12</f>
        <v>0</v>
      </c>
      <c r="AF55" s="285">
        <f>'Calculos M'!AS19*Puntos!$H$13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f>IF(AND(P60=X60,P60&lt;&gt;""),Puntos!$H$18,0)</f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 t="str">
        <f>IF(Quiniela!$C60="","",Quiniela!$C60)</f>
        <v/>
      </c>
      <c r="D60" s="269" t="s">
        <v>522</v>
      </c>
      <c r="E60" s="394" t="str">
        <f>IF(Quiniela!$E60="","",Quiniela!$E60)</f>
        <v/>
      </c>
      <c r="F60" s="393" t="s">
        <v>60</v>
      </c>
      <c r="G60" s="271">
        <v>1</v>
      </c>
      <c r="H60" s="272" t="s">
        <v>24</v>
      </c>
      <c r="I60" s="271">
        <v>0</v>
      </c>
      <c r="J60" s="273">
        <f>IF(AND(Quiniela!$C60&lt;&gt;"",Quiniela!$E60&lt;&gt;"",$G60&lt;&gt;"",$I60&lt;&gt;"",OR(AND(Quiniela!$C60&gt;Quiniela!$E60,$G60&gt;$I60),AND(Quiniela!$C60=Quiniela!$E60,$G60=$I60),AND(Quiniela!$C60&lt;Quiniela!$E60,$G60&lt;$I60))),Puntos!$H$10,0)</f>
        <v>0</v>
      </c>
      <c r="K60" s="273">
        <f>IF(AND(Quiniela!$C60&lt;&gt;"",Quiniela!$E60&lt;&gt;"",$G60&lt;&gt;"",$I60&lt;&gt;"",AND(Quiniela!$C60=$G60,Quiniela!$E60=$I60)),Puntos!$H$11,0)</f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94" t="str">
        <f>IF(Quiniela!$C61="","",Quiniela!$C61)</f>
        <v/>
      </c>
      <c r="D61" s="302" t="s">
        <v>522</v>
      </c>
      <c r="E61" s="394" t="str">
        <f>IF(Quiniela!$E61="","",Quiniela!$E61)</f>
        <v/>
      </c>
      <c r="F61" s="388" t="s">
        <v>62</v>
      </c>
      <c r="G61" s="290">
        <v>3</v>
      </c>
      <c r="H61" s="291" t="s">
        <v>24</v>
      </c>
      <c r="I61" s="290">
        <v>0</v>
      </c>
      <c r="J61" s="273">
        <f>IF(AND(Quiniela!$C61&lt;&gt;"",Quiniela!$E61&lt;&gt;"",$G61&lt;&gt;"",$I61&lt;&gt;"",OR(AND(Quiniela!$C61&gt;Quiniela!$E61,$G61&gt;$I61),AND(Quiniela!$C61=Quiniela!$E61,$G61=$I61),AND(Quiniela!$C61&lt;Quiniela!$E61,$G61&lt;$I61))),Puntos!$H$10,0)</f>
        <v>0</v>
      </c>
      <c r="K61" s="273">
        <f>IF(AND(Quiniela!$C61&lt;&gt;"",Quiniela!$E61&lt;&gt;"",$G61&lt;&gt;"",$I61&lt;&gt;"",AND(Quiniela!$C61=$G61,Quiniela!$E61=$I61)),Puntos!$H$11,0)</f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94" t="str">
        <f>IF(Quiniela!$C62="","",Quiniela!$C62)</f>
        <v/>
      </c>
      <c r="D62" s="302" t="s">
        <v>522</v>
      </c>
      <c r="E62" s="394" t="str">
        <f>IF(Quiniela!$E62="","",Quiniela!$E62)</f>
        <v/>
      </c>
      <c r="F62" s="388" t="s">
        <v>61</v>
      </c>
      <c r="G62" s="290">
        <v>1</v>
      </c>
      <c r="H62" s="291" t="s">
        <v>24</v>
      </c>
      <c r="I62" s="290">
        <v>2</v>
      </c>
      <c r="J62" s="273">
        <f>IF(AND(Quiniela!$C62&lt;&gt;"",Quiniela!$E62&lt;&gt;"",$G62&lt;&gt;"",$I62&lt;&gt;"",OR(AND(Quiniela!$C62&gt;Quiniela!$E62,$G62&gt;$I62),AND(Quiniela!$C62=Quiniela!$E62,$G62=$I62),AND(Quiniela!$C62&lt;Quiniela!$E62,$G62&lt;$I62))),Puntos!$H$10,0)</f>
        <v>0</v>
      </c>
      <c r="K62" s="273">
        <f>IF(AND(Quiniela!$C62&lt;&gt;"",Quiniela!$E62&lt;&gt;"",$G62&lt;&gt;"",$I62&lt;&gt;"",AND(Quiniela!$C62=$G62,Quiniela!$E62=$I62)),Puntos!$H$11,0)</f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94" t="str">
        <f>IF(Quiniela!$C63="","",Quiniela!$C63)</f>
        <v/>
      </c>
      <c r="D63" s="302" t="s">
        <v>522</v>
      </c>
      <c r="E63" s="394" t="str">
        <f>IF(Quiniela!$E63="","",Quiniela!$E63)</f>
        <v/>
      </c>
      <c r="F63" s="388" t="s">
        <v>60</v>
      </c>
      <c r="G63" s="290">
        <v>1</v>
      </c>
      <c r="H63" s="291" t="s">
        <v>24</v>
      </c>
      <c r="I63" s="290">
        <v>4</v>
      </c>
      <c r="J63" s="273">
        <f>IF(AND(Quiniela!$C63&lt;&gt;"",Quiniela!$E63&lt;&gt;"",$G63&lt;&gt;"",$I63&lt;&gt;"",OR(AND(Quiniela!$C63&gt;Quiniela!$E63,$G63&gt;$I63),AND(Quiniela!$C63=Quiniela!$E63,$G63=$I63),AND(Quiniela!$C63&lt;Quiniela!$E63,$G63&lt;$I63))),Puntos!$H$10,0)</f>
        <v>0</v>
      </c>
      <c r="K63" s="273">
        <f>IF(AND(Quiniela!$C63&lt;&gt;"",Quiniela!$E63&lt;&gt;"",$G63&lt;&gt;"",$I63&lt;&gt;"",AND(Quiniela!$C63=$G63,Quiniela!$E63=$I63)),Puntos!$H$11,0)</f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94" t="str">
        <f>IF(Quiniela!$C64="","",Quiniela!$C64)</f>
        <v/>
      </c>
      <c r="D64" s="302" t="s">
        <v>522</v>
      </c>
      <c r="E64" s="394" t="str">
        <f>IF(Quiniela!$E64="","",Quiniela!$E64)</f>
        <v/>
      </c>
      <c r="F64" s="388" t="s">
        <v>59</v>
      </c>
      <c r="G64" s="290">
        <v>1</v>
      </c>
      <c r="H64" s="291" t="s">
        <v>24</v>
      </c>
      <c r="I64" s="290">
        <v>2</v>
      </c>
      <c r="J64" s="273">
        <f>IF(AND(Quiniela!$C64&lt;&gt;"",Quiniela!$E64&lt;&gt;"",$G64&lt;&gt;"",$I64&lt;&gt;"",OR(AND(Quiniela!$C64&gt;Quiniela!$E64,$G64&gt;$I64),AND(Quiniela!$C64=Quiniela!$E64,$G64=$I64),AND(Quiniela!$C64&lt;Quiniela!$E64,$G64&lt;$I64))),Puntos!$H$10,0)</f>
        <v>0</v>
      </c>
      <c r="K64" s="273">
        <f>IF(AND(Quiniela!$C64&lt;&gt;"",Quiniela!$E64&lt;&gt;"",$G64&lt;&gt;"",$I64&lt;&gt;"",AND(Quiniela!$C64=$G64,Quiniela!$E64=$I64)),Puntos!$H$11,0)</f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94" t="str">
        <f>IF(Quiniela!$C65="","",Quiniela!$C65)</f>
        <v/>
      </c>
      <c r="D65" s="305" t="s">
        <v>522</v>
      </c>
      <c r="E65" s="394" t="str">
        <f>IF(Quiniela!$E65="","",Quiniela!$E65)</f>
        <v/>
      </c>
      <c r="F65" s="385" t="s">
        <v>61</v>
      </c>
      <c r="G65" s="307">
        <v>2</v>
      </c>
      <c r="H65" s="308" t="s">
        <v>24</v>
      </c>
      <c r="I65" s="307">
        <v>1</v>
      </c>
      <c r="J65" s="273">
        <f>IF(AND(Quiniela!$C65&lt;&gt;"",Quiniela!$E65&lt;&gt;"",$G65&lt;&gt;"",$I65&lt;&gt;"",OR(AND(Quiniela!$C65&gt;Quiniela!$E65,$G65&gt;$I65),AND(Quiniela!$C65=Quiniela!$E65,$G65=$I65),AND(Quiniela!$C65&lt;Quiniela!$E65,$G65&lt;$I65))),Puntos!$H$10,0)</f>
        <v>0</v>
      </c>
      <c r="K65" s="273">
        <f>IF(AND(Quiniela!$C65&lt;&gt;"",Quiniela!$E65&lt;&gt;"",$G65&lt;&gt;"",$I65&lt;&gt;"",AND(Quiniela!$C65=$G65,Quiniela!$E65=$I65)),Puntos!$H$11,0)</f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 t="str">
        <f>IF(Quiniela!$C71="","",Quiniela!$C71)</f>
        <v/>
      </c>
      <c r="D71" s="269" t="s">
        <v>522</v>
      </c>
      <c r="E71" s="394" t="str">
        <f>IF(Quiniela!$E71="","",Quiniela!$E71)</f>
        <v/>
      </c>
      <c r="F71" s="393" t="s">
        <v>65</v>
      </c>
      <c r="G71" s="271">
        <v>1</v>
      </c>
      <c r="H71" s="272" t="s">
        <v>24</v>
      </c>
      <c r="I71" s="271">
        <v>0</v>
      </c>
      <c r="J71" s="273">
        <f>IF(AND(Quiniela!$C71&lt;&gt;"",Quiniela!$E71&lt;&gt;"",$G71&lt;&gt;"",$I71&lt;&gt;"",OR(AND(Quiniela!$C71&gt;Quiniela!$E71,$G71&gt;$I71),AND(Quiniela!$C71=Quiniela!$E71,$G71=$I71),AND(Quiniela!$C71&lt;Quiniela!$E71,$G71&lt;$I71))),Puntos!$H$10,0)</f>
        <v>0</v>
      </c>
      <c r="K71" s="273">
        <f>IF(AND(Quiniela!$C71&lt;&gt;"",Quiniela!$E71&lt;&gt;"",$G71&lt;&gt;"",$I71&lt;&gt;"",AND(Quiniela!$C71=$G71,Quiniela!$E71=$I71)),Puntos!$H$11,0)</f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94" t="str">
        <f>IF(Quiniela!$C72="","",Quiniela!$C72)</f>
        <v/>
      </c>
      <c r="D72" s="302" t="s">
        <v>522</v>
      </c>
      <c r="E72" s="394" t="str">
        <f>IF(Quiniela!$E72="","",Quiniela!$E72)</f>
        <v/>
      </c>
      <c r="F72" s="388" t="s">
        <v>67</v>
      </c>
      <c r="G72" s="290">
        <v>0</v>
      </c>
      <c r="H72" s="291" t="s">
        <v>24</v>
      </c>
      <c r="I72" s="290">
        <v>3</v>
      </c>
      <c r="J72" s="273">
        <f>IF(AND(Quiniela!$C72&lt;&gt;"",Quiniela!$E72&lt;&gt;"",$G72&lt;&gt;"",$I72&lt;&gt;"",OR(AND(Quiniela!$C72&gt;Quiniela!$E72,$G72&gt;$I72),AND(Quiniela!$C72=Quiniela!$E72,$G72=$I72),AND(Quiniela!$C72&lt;Quiniela!$E72,$G72&lt;$I72))),Puntos!$H$10,0)</f>
        <v>0</v>
      </c>
      <c r="K72" s="273">
        <f>IF(AND(Quiniela!$C72&lt;&gt;"",Quiniela!$E72&lt;&gt;"",$G72&lt;&gt;"",$I72&lt;&gt;"",AND(Quiniela!$C72=$G72,Quiniela!$E72=$I72)),Puntos!$H$11,0)</f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94" t="str">
        <f>IF(Quiniela!$C73="","",Quiniela!$C73)</f>
        <v/>
      </c>
      <c r="D73" s="302" t="s">
        <v>522</v>
      </c>
      <c r="E73" s="394" t="str">
        <f>IF(Quiniela!$E73="","",Quiniela!$E73)</f>
        <v/>
      </c>
      <c r="F73" s="388" t="s">
        <v>66</v>
      </c>
      <c r="G73" s="290">
        <v>4</v>
      </c>
      <c r="H73" s="291" t="s">
        <v>24</v>
      </c>
      <c r="I73" s="290">
        <v>1</v>
      </c>
      <c r="J73" s="273">
        <f>IF(AND(Quiniela!$C73&lt;&gt;"",Quiniela!$E73&lt;&gt;"",$G73&lt;&gt;"",$I73&lt;&gt;"",OR(AND(Quiniela!$C73&gt;Quiniela!$E73,$G73&gt;$I73),AND(Quiniela!$C73=Quiniela!$E73,$G73=$I73),AND(Quiniela!$C73&lt;Quiniela!$E73,$G73&lt;$I73))),Puntos!$H$10,0)</f>
        <v>0</v>
      </c>
      <c r="K73" s="273">
        <f>IF(AND(Quiniela!$C73&lt;&gt;"",Quiniela!$E73&lt;&gt;"",$G73&lt;&gt;"",$I73&lt;&gt;"",AND(Quiniela!$C73=$G73,Quiniela!$E73=$I73)),Puntos!$H$11,0)</f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94" t="str">
        <f>IF(Quiniela!$C74="","",Quiniela!$C74)</f>
        <v/>
      </c>
      <c r="D74" s="302" t="s">
        <v>522</v>
      </c>
      <c r="E74" s="394" t="str">
        <f>IF(Quiniela!$E74="","",Quiniela!$E74)</f>
        <v/>
      </c>
      <c r="F74" s="388" t="s">
        <v>65</v>
      </c>
      <c r="G74" s="290">
        <v>2</v>
      </c>
      <c r="H74" s="291" t="s">
        <v>24</v>
      </c>
      <c r="I74" s="290">
        <v>0</v>
      </c>
      <c r="J74" s="273">
        <f>IF(AND(Quiniela!$C74&lt;&gt;"",Quiniela!$E74&lt;&gt;"",$G74&lt;&gt;"",$I74&lt;&gt;"",OR(AND(Quiniela!$C74&gt;Quiniela!$E74,$G74&gt;$I74),AND(Quiniela!$C74=Quiniela!$E74,$G74=$I74),AND(Quiniela!$C74&lt;Quiniela!$E74,$G74&lt;$I74))),Puntos!$H$10,0)</f>
        <v>0</v>
      </c>
      <c r="K74" s="273">
        <f>IF(AND(Quiniela!$C74&lt;&gt;"",Quiniela!$E74&lt;&gt;"",$G74&lt;&gt;"",$I74&lt;&gt;"",AND(Quiniela!$C74=$G74,Quiniela!$E74=$I74)),Puntos!$H$11,0)</f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94" t="str">
        <f>IF(Quiniela!$C75="","",Quiniela!$C75)</f>
        <v/>
      </c>
      <c r="D75" s="302" t="s">
        <v>522</v>
      </c>
      <c r="E75" s="394" t="str">
        <f>IF(Quiniela!$E75="","",Quiniela!$E75)</f>
        <v/>
      </c>
      <c r="F75" s="388" t="s">
        <v>64</v>
      </c>
      <c r="G75" s="290">
        <v>1</v>
      </c>
      <c r="H75" s="291" t="s">
        <v>24</v>
      </c>
      <c r="I75" s="290">
        <v>2</v>
      </c>
      <c r="J75" s="273">
        <f>IF(AND(Quiniela!$C75&lt;&gt;"",Quiniela!$E75&lt;&gt;"",$G75&lt;&gt;"",$I75&lt;&gt;"",OR(AND(Quiniela!$C75&gt;Quiniela!$E75,$G75&gt;$I75),AND(Quiniela!$C75=Quiniela!$E75,$G75=$I75),AND(Quiniela!$C75&lt;Quiniela!$E75,$G75&lt;$I75))),Puntos!$H$10,0)</f>
        <v>0</v>
      </c>
      <c r="K75" s="273">
        <f>IF(AND(Quiniela!$C75&lt;&gt;"",Quiniela!$E75&lt;&gt;"",$G75&lt;&gt;"",$I75&lt;&gt;"",AND(Quiniela!$C75=$G75,Quiniela!$E75=$I75)),Puntos!$H$11,0)</f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94" t="str">
        <f>IF(Quiniela!$C76="","",Quiniela!$C76)</f>
        <v/>
      </c>
      <c r="D76" s="305" t="s">
        <v>522</v>
      </c>
      <c r="E76" s="394" t="str">
        <f>IF(Quiniela!$E76="","",Quiniela!$E76)</f>
        <v/>
      </c>
      <c r="F76" s="385" t="s">
        <v>66</v>
      </c>
      <c r="G76" s="307">
        <v>3</v>
      </c>
      <c r="H76" s="308" t="s">
        <v>24</v>
      </c>
      <c r="I76" s="307">
        <v>0</v>
      </c>
      <c r="J76" s="273">
        <f>IF(AND(Quiniela!$C76&lt;&gt;"",Quiniela!$E76&lt;&gt;"",$G76&lt;&gt;"",$I76&lt;&gt;"",OR(AND(Quiniela!$C76&gt;Quiniela!$E76,$G76&gt;$I76),AND(Quiniela!$C76=Quiniela!$E76,$G76=$I76),AND(Quiniela!$C76&lt;Quiniela!$E76,$G76&lt;$I76))),Puntos!$H$10,0)</f>
        <v>0</v>
      </c>
      <c r="K76" s="273">
        <f>IF(AND(Quiniela!$C76&lt;&gt;"",Quiniela!$E76&lt;&gt;"",$G76&lt;&gt;"",$I76&lt;&gt;"",AND(Quiniela!$C76=$G76,Quiniela!$E76=$I76)),Puntos!$H$11,0)</f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 t="str">
        <f>IF(Quiniela!$C82="","",Quiniela!$C82)</f>
        <v/>
      </c>
      <c r="D82" s="269" t="s">
        <v>522</v>
      </c>
      <c r="E82" s="394" t="str">
        <f>IF(Quiniela!$E82="","",Quiniela!$E82)</f>
        <v/>
      </c>
      <c r="F82" s="393" t="s">
        <v>70</v>
      </c>
      <c r="G82" s="271">
        <v>2</v>
      </c>
      <c r="H82" s="272" t="s">
        <v>24</v>
      </c>
      <c r="I82" s="271">
        <v>1</v>
      </c>
      <c r="J82" s="273">
        <f>IF(AND(Quiniela!$C82&lt;&gt;"",Quiniela!$E82&lt;&gt;"",$G82&lt;&gt;"",$I82&lt;&gt;"",OR(AND(Quiniela!$C82&gt;Quiniela!$E82,$G82&gt;$I82),AND(Quiniela!$C82=Quiniela!$E82,$G82=$I82),AND(Quiniela!$C82&lt;Quiniela!$E82,$G82&lt;$I82))),Puntos!$H$10,0)</f>
        <v>0</v>
      </c>
      <c r="K82" s="273">
        <f>IF(AND(Quiniela!$C82&lt;&gt;"",Quiniela!$E82&lt;&gt;"",$G82&lt;&gt;"",$I82&lt;&gt;"",AND(Quiniela!$C82=$G82,Quiniela!$E82=$I82)),Puntos!$H$11,0)</f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94" t="str">
        <f>IF(Quiniela!$C83="","",Quiniela!$C83)</f>
        <v/>
      </c>
      <c r="D83" s="302" t="s">
        <v>522</v>
      </c>
      <c r="E83" s="394" t="str">
        <f>IF(Quiniela!$E83="","",Quiniela!$E83)</f>
        <v/>
      </c>
      <c r="F83" s="388" t="s">
        <v>72</v>
      </c>
      <c r="G83" s="290">
        <v>2</v>
      </c>
      <c r="H83" s="291" t="s">
        <v>24</v>
      </c>
      <c r="I83" s="290">
        <v>1</v>
      </c>
      <c r="J83" s="273">
        <f>IF(AND(Quiniela!$C83&lt;&gt;"",Quiniela!$E83&lt;&gt;"",$G83&lt;&gt;"",$I83&lt;&gt;"",OR(AND(Quiniela!$C83&gt;Quiniela!$E83,$G83&gt;$I83),AND(Quiniela!$C83=Quiniela!$E83,$G83=$I83),AND(Quiniela!$C83&lt;Quiniela!$E83,$G83&lt;$I83))),Puntos!$H$10,0)</f>
        <v>0</v>
      </c>
      <c r="K83" s="273">
        <f>IF(AND(Quiniela!$C83&lt;&gt;"",Quiniela!$E83&lt;&gt;"",$G83&lt;&gt;"",$I83&lt;&gt;"",AND(Quiniela!$C83=$G83,Quiniela!$E83=$I83)),Puntos!$H$11,0)</f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94" t="str">
        <f>IF(Quiniela!$C84="","",Quiniela!$C84)</f>
        <v/>
      </c>
      <c r="D84" s="302" t="s">
        <v>522</v>
      </c>
      <c r="E84" s="394" t="str">
        <f>IF(Quiniela!$E84="","",Quiniela!$E84)</f>
        <v/>
      </c>
      <c r="F84" s="388" t="s">
        <v>71</v>
      </c>
      <c r="G84" s="290">
        <v>2</v>
      </c>
      <c r="H84" s="291" t="s">
        <v>24</v>
      </c>
      <c r="I84" s="290">
        <v>0</v>
      </c>
      <c r="J84" s="273">
        <f>IF(AND(Quiniela!$C84&lt;&gt;"",Quiniela!$E84&lt;&gt;"",$G84&lt;&gt;"",$I84&lt;&gt;"",OR(AND(Quiniela!$C84&gt;Quiniela!$E84,$G84&gt;$I84),AND(Quiniela!$C84=Quiniela!$E84,$G84=$I84),AND(Quiniela!$C84&lt;Quiniela!$E84,$G84&lt;$I84))),Puntos!$H$10,0)</f>
        <v>0</v>
      </c>
      <c r="K84" s="273">
        <f>IF(AND(Quiniela!$C84&lt;&gt;"",Quiniela!$E84&lt;&gt;"",$G84&lt;&gt;"",$I84&lt;&gt;"",AND(Quiniela!$C84=$G84,Quiniela!$E84=$I84)),Puntos!$H$11,0)</f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94" t="str">
        <f>IF(Quiniela!$C85="","",Quiniela!$C85)</f>
        <v/>
      </c>
      <c r="D85" s="302" t="s">
        <v>522</v>
      </c>
      <c r="E85" s="394" t="str">
        <f>IF(Quiniela!$E85="","",Quiniela!$E85)</f>
        <v/>
      </c>
      <c r="F85" s="388" t="s">
        <v>70</v>
      </c>
      <c r="G85" s="290">
        <v>1</v>
      </c>
      <c r="H85" s="291" t="s">
        <v>24</v>
      </c>
      <c r="I85" s="290">
        <v>1</v>
      </c>
      <c r="J85" s="273">
        <f>IF(AND(Quiniela!$C85&lt;&gt;"",Quiniela!$E85&lt;&gt;"",$G85&lt;&gt;"",$I85&lt;&gt;"",OR(AND(Quiniela!$C85&gt;Quiniela!$E85,$G85&gt;$I85),AND(Quiniela!$C85=Quiniela!$E85,$G85=$I85),AND(Quiniela!$C85&lt;Quiniela!$E85,$G85&lt;$I85))),Puntos!$H$10,0)</f>
        <v>0</v>
      </c>
      <c r="K85" s="273">
        <f>IF(AND(Quiniela!$C85&lt;&gt;"",Quiniela!$E85&lt;&gt;"",$G85&lt;&gt;"",$I85&lt;&gt;"",AND(Quiniela!$C85=$G85,Quiniela!$E85=$I85)),Puntos!$H$11,0)</f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94" t="str">
        <f>IF(Quiniela!$C86="","",Quiniela!$C86)</f>
        <v/>
      </c>
      <c r="D86" s="302" t="s">
        <v>522</v>
      </c>
      <c r="E86" s="394" t="str">
        <f>IF(Quiniela!$E86="","",Quiniela!$E86)</f>
        <v/>
      </c>
      <c r="F86" s="388" t="s">
        <v>69</v>
      </c>
      <c r="G86" s="290">
        <v>0</v>
      </c>
      <c r="H86" s="291" t="s">
        <v>24</v>
      </c>
      <c r="I86" s="290">
        <v>3</v>
      </c>
      <c r="J86" s="273">
        <f>IF(AND(Quiniela!$C86&lt;&gt;"",Quiniela!$E86&lt;&gt;"",$G86&lt;&gt;"",$I86&lt;&gt;"",OR(AND(Quiniela!$C86&gt;Quiniela!$E86,$G86&gt;$I86),AND(Quiniela!$C86=Quiniela!$E86,$G86=$I86),AND(Quiniela!$C86&lt;Quiniela!$E86,$G86&lt;$I86))),Puntos!$H$10,0)</f>
        <v>0</v>
      </c>
      <c r="K86" s="273">
        <f>IF(AND(Quiniela!$C86&lt;&gt;"",Quiniela!$E86&lt;&gt;"",$G86&lt;&gt;"",$I86&lt;&gt;"",AND(Quiniela!$C86=$G86,Quiniela!$E86=$I86)),Puntos!$H$11,0)</f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94" t="str">
        <f>IF(Quiniela!$C87="","",Quiniela!$C87)</f>
        <v/>
      </c>
      <c r="D87" s="305" t="s">
        <v>522</v>
      </c>
      <c r="E87" s="394" t="str">
        <f>IF(Quiniela!$E87="","",Quiniela!$E87)</f>
        <v/>
      </c>
      <c r="F87" s="385" t="s">
        <v>71</v>
      </c>
      <c r="G87" s="307">
        <v>3</v>
      </c>
      <c r="H87" s="308" t="s">
        <v>24</v>
      </c>
      <c r="I87" s="307">
        <v>2</v>
      </c>
      <c r="J87" s="273">
        <f>IF(AND(Quiniela!$C87&lt;&gt;"",Quiniela!$E87&lt;&gt;"",$G87&lt;&gt;"",$I87&lt;&gt;"",OR(AND(Quiniela!$C87&gt;Quiniela!$E87,$G87&gt;$I87),AND(Quiniela!$C87=Quiniela!$E87,$G87=$I87),AND(Quiniela!$C87&lt;Quiniela!$E87,$G87&lt;$I87))),Puntos!$H$10,0)</f>
        <v>0</v>
      </c>
      <c r="K87" s="273">
        <f>IF(AND(Quiniela!$C87&lt;&gt;"",Quiniela!$E87&lt;&gt;"",$G87&lt;&gt;"",$I87&lt;&gt;"",AND(Quiniela!$C87=$G87,Quiniela!$E87=$I87)),Puntos!$H$11,0)</f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 t="str">
        <f>IF(Quiniela!$C93="","",Quiniela!$C93)</f>
        <v/>
      </c>
      <c r="D93" s="269" t="s">
        <v>522</v>
      </c>
      <c r="E93" s="394" t="str">
        <f>IF(Quiniela!$E93="","",Quiniela!$E93)</f>
        <v/>
      </c>
      <c r="F93" s="393" t="s">
        <v>75</v>
      </c>
      <c r="G93" s="271">
        <v>2</v>
      </c>
      <c r="H93" s="272" t="s">
        <v>24</v>
      </c>
      <c r="I93" s="271">
        <v>0</v>
      </c>
      <c r="J93" s="273">
        <f>IF(AND(Quiniela!$C93&lt;&gt;"",Quiniela!$E93&lt;&gt;"",$G93&lt;&gt;"",$I93&lt;&gt;"",OR(AND(Quiniela!$C93&gt;Quiniela!$E93,$G93&gt;$I93),AND(Quiniela!$C93=Quiniela!$E93,$G93=$I93),AND(Quiniela!$C93&lt;Quiniela!$E93,$G93&lt;$I93))),Puntos!$H$10,0)</f>
        <v>0</v>
      </c>
      <c r="K93" s="273">
        <f>IF(AND(Quiniela!$C93&lt;&gt;"",Quiniela!$E93&lt;&gt;"",$G93&lt;&gt;"",$I93&lt;&gt;"",AND(Quiniela!$C93=$G93,Quiniela!$E93=$I93)),Puntos!$H$11,0)</f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94" t="str">
        <f>IF(Quiniela!$C94="","",Quiniela!$C94)</f>
        <v/>
      </c>
      <c r="D94" s="302" t="s">
        <v>522</v>
      </c>
      <c r="E94" s="394" t="str">
        <f>IF(Quiniela!$E94="","",Quiniela!$E94)</f>
        <v/>
      </c>
      <c r="F94" s="388" t="s">
        <v>77</v>
      </c>
      <c r="G94" s="290">
        <v>3</v>
      </c>
      <c r="H94" s="291" t="s">
        <v>24</v>
      </c>
      <c r="I94" s="290">
        <v>2</v>
      </c>
      <c r="J94" s="273">
        <f>IF(AND(Quiniela!$C94&lt;&gt;"",Quiniela!$E94&lt;&gt;"",$G94&lt;&gt;"",$I94&lt;&gt;"",OR(AND(Quiniela!$C94&gt;Quiniela!$E94,$G94&gt;$I94),AND(Quiniela!$C94=Quiniela!$E94,$G94=$I94),AND(Quiniela!$C94&lt;Quiniela!$E94,$G94&lt;$I94))),Puntos!$H$10,0)</f>
        <v>0</v>
      </c>
      <c r="K94" s="273">
        <f>IF(AND(Quiniela!$C94&lt;&gt;"",Quiniela!$E94&lt;&gt;"",$G94&lt;&gt;"",$I94&lt;&gt;"",AND(Quiniela!$C94=$G94,Quiniela!$E94=$I94)),Puntos!$H$11,0)</f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94" t="str">
        <f>IF(Quiniela!$C95="","",Quiniela!$C95)</f>
        <v/>
      </c>
      <c r="D95" s="302" t="s">
        <v>522</v>
      </c>
      <c r="E95" s="394" t="str">
        <f>IF(Quiniela!$E95="","",Quiniela!$E95)</f>
        <v/>
      </c>
      <c r="F95" s="388" t="s">
        <v>76</v>
      </c>
      <c r="G95" s="290">
        <v>2</v>
      </c>
      <c r="H95" s="291" t="s">
        <v>24</v>
      </c>
      <c r="I95" s="290">
        <v>1</v>
      </c>
      <c r="J95" s="273">
        <f>IF(AND(Quiniela!$C95&lt;&gt;"",Quiniela!$E95&lt;&gt;"",$G95&lt;&gt;"",$I95&lt;&gt;"",OR(AND(Quiniela!$C95&gt;Quiniela!$E95,$G95&gt;$I95),AND(Quiniela!$C95=Quiniela!$E95,$G95=$I95),AND(Quiniela!$C95&lt;Quiniela!$E95,$G95&lt;$I95))),Puntos!$H$10,0)</f>
        <v>0</v>
      </c>
      <c r="K95" s="273">
        <f>IF(AND(Quiniela!$C95&lt;&gt;"",Quiniela!$E95&lt;&gt;"",$G95&lt;&gt;"",$I95&lt;&gt;"",AND(Quiniela!$C95=$G95,Quiniela!$E95=$I95)),Puntos!$H$11,0)</f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94" t="str">
        <f>IF(Quiniela!$C96="","",Quiniela!$C96)</f>
        <v/>
      </c>
      <c r="D96" s="302" t="s">
        <v>522</v>
      </c>
      <c r="E96" s="394" t="str">
        <f>IF(Quiniela!$E96="","",Quiniela!$E96)</f>
        <v/>
      </c>
      <c r="F96" s="388" t="s">
        <v>75</v>
      </c>
      <c r="G96" s="290">
        <v>0</v>
      </c>
      <c r="H96" s="291" t="s">
        <v>24</v>
      </c>
      <c r="I96" s="290">
        <v>0</v>
      </c>
      <c r="J96" s="273">
        <f>IF(AND(Quiniela!$C96&lt;&gt;"",Quiniela!$E96&lt;&gt;"",$G96&lt;&gt;"",$I96&lt;&gt;"",OR(AND(Quiniela!$C96&gt;Quiniela!$E96,$G96&gt;$I96),AND(Quiniela!$C96=Quiniela!$E96,$G96=$I96),AND(Quiniela!$C96&lt;Quiniela!$E96,$G96&lt;$I96))),Puntos!$H$10,0)</f>
        <v>0</v>
      </c>
      <c r="K96" s="273">
        <f>IF(AND(Quiniela!$C96&lt;&gt;"",Quiniela!$E96&lt;&gt;"",$G96&lt;&gt;"",$I96&lt;&gt;"",AND(Quiniela!$C96=$G96,Quiniela!$E96=$I96)),Puntos!$H$11,0)</f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94" t="str">
        <f>IF(Quiniela!$C97="","",Quiniela!$C97)</f>
        <v/>
      </c>
      <c r="D97" s="302" t="s">
        <v>522</v>
      </c>
      <c r="E97" s="394" t="str">
        <f>IF(Quiniela!$E97="","",Quiniela!$E97)</f>
        <v/>
      </c>
      <c r="F97" s="388" t="s">
        <v>74</v>
      </c>
      <c r="G97" s="290">
        <v>0</v>
      </c>
      <c r="H97" s="291" t="s">
        <v>24</v>
      </c>
      <c r="I97" s="290">
        <v>3</v>
      </c>
      <c r="J97" s="273">
        <f>IF(AND(Quiniela!$C97&lt;&gt;"",Quiniela!$E97&lt;&gt;"",$G97&lt;&gt;"",$I97&lt;&gt;"",OR(AND(Quiniela!$C97&gt;Quiniela!$E97,$G97&gt;$I97),AND(Quiniela!$C97=Quiniela!$E97,$G97=$I97),AND(Quiniela!$C97&lt;Quiniela!$E97,$G97&lt;$I97))),Puntos!$H$10,0)</f>
        <v>0</v>
      </c>
      <c r="K97" s="273">
        <f>IF(AND(Quiniela!$C97&lt;&gt;"",Quiniela!$E97&lt;&gt;"",$G97&lt;&gt;"",$I97&lt;&gt;"",AND(Quiniela!$C97=$G97,Quiniela!$E97=$I97)),Puntos!$H$11,0)</f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94" t="str">
        <f>IF(Quiniela!$C98="","",Quiniela!$C98)</f>
        <v/>
      </c>
      <c r="D98" s="305" t="s">
        <v>522</v>
      </c>
      <c r="E98" s="394" t="str">
        <f>IF(Quiniela!$E98="","",Quiniela!$E98)</f>
        <v/>
      </c>
      <c r="F98" s="385" t="s">
        <v>76</v>
      </c>
      <c r="G98" s="307">
        <v>1</v>
      </c>
      <c r="H98" s="308" t="s">
        <v>24</v>
      </c>
      <c r="I98" s="307">
        <v>0</v>
      </c>
      <c r="J98" s="273">
        <f>IF(AND(Quiniela!$C98&lt;&gt;"",Quiniela!$E98&lt;&gt;"",$G98&lt;&gt;"",$I98&lt;&gt;"",OR(AND(Quiniela!$C98&gt;Quiniela!$E98,$G98&gt;$I98),AND(Quiniela!$C98=Quiniela!$E98,$G98=$I98),AND(Quiniela!$C98&lt;Quiniela!$E98,$G98&lt;$I98))),Puntos!$H$10,0)</f>
        <v>0</v>
      </c>
      <c r="K98" s="273">
        <f>IF(AND(Quiniela!$C98&lt;&gt;"",Quiniela!$E98&lt;&gt;"",$G98&lt;&gt;"",$I98&lt;&gt;"",AND(Quiniela!$C98=$G98,Quiniela!$E98=$I98)),Puntos!$H$11,0)</f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B5:AF5"/>
    <mergeCell ref="D3:I3"/>
    <mergeCell ref="D4:I4"/>
    <mergeCell ref="Q4:X4"/>
    <mergeCell ref="D5:I5"/>
    <mergeCell ref="Q5:R5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B47:F48"/>
    <mergeCell ref="W47:Y47"/>
    <mergeCell ref="AC35:AF35"/>
    <mergeCell ref="B36:F37"/>
    <mergeCell ref="P38:V39"/>
    <mergeCell ref="W38:AB38"/>
    <mergeCell ref="AC38:AF38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38:C43 C27:C32 E27:E32 E38:E43 E16:E21 C16:C21">
    <cfRule type="cellIs" dxfId="225" priority="26" stopIfTrue="1" operator="equal">
      <formula>""</formula>
    </cfRule>
  </conditionalFormatting>
  <conditionalFormatting sqref="Q4:Q9 R5">
    <cfRule type="expression" dxfId="224" priority="20" stopIfTrue="1">
      <formula>IF($Q4="",1,0)=1</formula>
    </cfRule>
  </conditionalFormatting>
  <conditionalFormatting sqref="Q16:R23 T16:U23">
    <cfRule type="cellIs" dxfId="223" priority="19" stopIfTrue="1" operator="equal">
      <formula>""</formula>
    </cfRule>
  </conditionalFormatting>
  <conditionalFormatting sqref="E49:E54 C49:C54">
    <cfRule type="cellIs" dxfId="222" priority="10" stopIfTrue="1" operator="equal">
      <formula>""</formula>
    </cfRule>
  </conditionalFormatting>
  <conditionalFormatting sqref="E60:E65 C60:C65">
    <cfRule type="cellIs" dxfId="221" priority="9" stopIfTrue="1" operator="equal">
      <formula>""</formula>
    </cfRule>
  </conditionalFormatting>
  <conditionalFormatting sqref="E71:E76 C71:C76">
    <cfRule type="cellIs" dxfId="220" priority="8" stopIfTrue="1" operator="equal">
      <formula>""</formula>
    </cfRule>
  </conditionalFormatting>
  <conditionalFormatting sqref="E82:E87 C82:C87">
    <cfRule type="cellIs" dxfId="219" priority="7" stopIfTrue="1" operator="equal">
      <formula>""</formula>
    </cfRule>
  </conditionalFormatting>
  <conditionalFormatting sqref="E93:E98 C93:C98">
    <cfRule type="cellIs" dxfId="218" priority="6" stopIfTrue="1" operator="equal">
      <formula>""</formula>
    </cfRule>
  </conditionalFormatting>
  <conditionalFormatting sqref="Q30:R33 T30:U33">
    <cfRule type="cellIs" dxfId="217" priority="5" stopIfTrue="1" operator="equal">
      <formula>""</formula>
    </cfRule>
  </conditionalFormatting>
  <conditionalFormatting sqref="Q40:R40 T40:U40">
    <cfRule type="cellIs" dxfId="216" priority="4" stopIfTrue="1" operator="equal">
      <formula>""</formula>
    </cfRule>
  </conditionalFormatting>
  <conditionalFormatting sqref="Q41:R41 T41:U41">
    <cfRule type="cellIs" dxfId="215" priority="3" stopIfTrue="1" operator="equal">
      <formula>""</formula>
    </cfRule>
  </conditionalFormatting>
  <conditionalFormatting sqref="Q48:R48 T48:U48">
    <cfRule type="cellIs" dxfId="214" priority="2" stopIfTrue="1" operator="equal">
      <formula>""</formula>
    </cfRule>
  </conditionalFormatting>
  <conditionalFormatting sqref="Q55:R55 T55:U55">
    <cfRule type="cellIs" dxfId="213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A152"/>
  <sheetViews>
    <sheetView topLeftCell="A7" workbookViewId="0">
      <selection activeCell="K16" sqref="K16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575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34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10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574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573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7136280893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10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>
        <f>IF(Quiniela!$C16="","",Quiniela!$C16)</f>
        <v>3</v>
      </c>
      <c r="D16" s="269" t="s">
        <v>522</v>
      </c>
      <c r="E16" s="394">
        <f>IF(Quiniela!$E16="","",Quiniela!$E16)</f>
        <v>1</v>
      </c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275" t="str">
        <f>CalculosAntonio!V4</f>
        <v>Brasil</v>
      </c>
      <c r="Q16" s="276" t="str">
        <f>IF(Quiniela!Q16="","",Quiniela!Q16)</f>
        <v/>
      </c>
      <c r="R16" s="276" t="str">
        <f>IF(Quiniela!R16="","",Quiniela!R16)</f>
        <v/>
      </c>
      <c r="S16" s="278" t="s">
        <v>522</v>
      </c>
      <c r="T16" s="276" t="str">
        <f>IF(Quiniela!T16="","",Quiniela!T16)</f>
        <v/>
      </c>
      <c r="U16" s="276" t="str">
        <f>IF(Quiniela!U16="","",Quiniela!U16)</f>
        <v/>
      </c>
      <c r="V16" s="279" t="str">
        <f>CalculosAntonio!AA4</f>
        <v>2do Grupo B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45</v>
      </c>
      <c r="AC16" s="285">
        <f>IF(OR(Y16="",AA16=""),0,IF(AND(ISERROR(MATCH($X16,$P$16:$P$23,0)),ISERROR(MATCH($X16,$V$16:$V$23,0))),0,Puntos!$H$14))</f>
        <v>10</v>
      </c>
      <c r="AD16" s="285">
        <f>IF(OR(Y16="",AA16=""),0,IF(AND(ISERROR(MATCH($AB16,$P$16:$P$23,0)),ISERROR(MATCH($AB16,$V$16:$V$23,0))),0,Puntos!$H$14))</f>
        <v>0</v>
      </c>
      <c r="AE16" s="285">
        <f>CalculosAntonio!AR4*Puntos!$H$12</f>
        <v>0</v>
      </c>
      <c r="AF16" s="285">
        <f>CalculosAntonio!AS4*Puntos!$H$13</f>
        <v>0</v>
      </c>
      <c r="AG16" s="285">
        <f>IF('Octavos de Final'!$G7="",0,'Octavos de Final'!$G7)</f>
        <v>0</v>
      </c>
      <c r="AH16" s="285">
        <f>IF('Octavos de Final'!$G9="",0,'Octavos de Final'!$G9)</f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94" t="str">
        <f>IF(Quiniela!$C17="","",Quiniela!$C17)</f>
        <v/>
      </c>
      <c r="D17" s="302" t="s">
        <v>522</v>
      </c>
      <c r="E17" s="394" t="str">
        <f>IF(Quiniela!$E17="","",Quiniela!$E17)</f>
        <v/>
      </c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293" t="str">
        <f>CalculosAntonio!V5</f>
        <v>1ero Grupo C</v>
      </c>
      <c r="Q17" s="276" t="str">
        <f>IF(Quiniela!Q17="","",Quiniela!Q17)</f>
        <v/>
      </c>
      <c r="R17" s="276" t="str">
        <f>IF(Quiniela!R17="","",Quiniela!R17)</f>
        <v/>
      </c>
      <c r="S17" s="295" t="s">
        <v>522</v>
      </c>
      <c r="T17" s="276" t="str">
        <f>IF(Quiniela!T17="","",Quiniela!T17)</f>
        <v/>
      </c>
      <c r="U17" s="276" t="str">
        <f>IF(Quiniela!U17="","",Quiniela!U17)</f>
        <v/>
      </c>
      <c r="V17" s="296" t="str">
        <f>CalculosAntonio!AA5</f>
        <v>2do Grupo D</v>
      </c>
      <c r="W17" s="397"/>
      <c r="X17" s="298" t="s">
        <v>51</v>
      </c>
      <c r="Y17" s="299">
        <v>0</v>
      </c>
      <c r="Z17" s="302" t="s">
        <v>522</v>
      </c>
      <c r="AA17" s="299">
        <v>2</v>
      </c>
      <c r="AB17" s="300" t="s">
        <v>57</v>
      </c>
      <c r="AC17" s="301">
        <f>IF(OR(Y17="",AA17=""),0,IF(AND(ISERROR(MATCH($X17,$P$16:$P$23,0)),ISERROR(MATCH($X17,$V$16:$V$23,0))),0,Puntos!$H$14))</f>
        <v>0</v>
      </c>
      <c r="AD17" s="301">
        <f>IF(OR(Y17="",AA17=""),0,IF(AND(ISERROR(MATCH($AB17,$P$16:$P$23,0)),ISERROR(MATCH($AB17,$V$16:$V$23,0))),0,Puntos!$H$14))</f>
        <v>0</v>
      </c>
      <c r="AE17" s="301">
        <f>CalculosAntonio!AR5*Puntos!$H$12</f>
        <v>0</v>
      </c>
      <c r="AF17" s="301">
        <f>CalculosAntonio!AS5*Puntos!$H$13</f>
        <v>0</v>
      </c>
      <c r="AG17" s="301">
        <f>IF('Octavos de Final'!$G11="",0,'Octavos de Final'!$G11)</f>
        <v>0</v>
      </c>
      <c r="AH17" s="301">
        <f>IF('Octavos de Final'!$G13="",0,'Octavos de Final'!$G13)</f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94" t="str">
        <f>IF(Quiniela!$C18="","",Quiniela!$C18)</f>
        <v/>
      </c>
      <c r="D18" s="302" t="s">
        <v>522</v>
      </c>
      <c r="E18" s="394" t="str">
        <f>IF(Quiniela!$E18="","",Quiniela!$E18)</f>
        <v/>
      </c>
      <c r="F18" s="388" t="s">
        <v>27</v>
      </c>
      <c r="G18" s="290">
        <v>1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293" t="str">
        <f>CalculosAntonio!V6</f>
        <v>1ero Grupo B</v>
      </c>
      <c r="Q18" s="276" t="str">
        <f>IF(Quiniela!Q18="","",Quiniela!Q18)</f>
        <v/>
      </c>
      <c r="R18" s="276" t="str">
        <f>IF(Quiniela!R18="","",Quiniela!R18)</f>
        <v/>
      </c>
      <c r="S18" s="295" t="s">
        <v>522</v>
      </c>
      <c r="T18" s="276" t="str">
        <f>IF(Quiniela!T18="","",Quiniela!T18)</f>
        <v/>
      </c>
      <c r="U18" s="276" t="str">
        <f>IF(Quiniela!U18="","",Quiniela!U18)</f>
        <v/>
      </c>
      <c r="V18" s="296" t="str">
        <f>CalculosAntonio!AA6</f>
        <v>2do Grupo A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27</v>
      </c>
      <c r="AC18" s="301">
        <f>IF(OR(Y18="",AA18=""),0,IF(AND(ISERROR(MATCH($X18,$P$16:$P$23,0)),ISERROR(MATCH($X18,$V$16:$V$23,0))),0,Puntos!$H$14))</f>
        <v>0</v>
      </c>
      <c r="AD18" s="301">
        <f>IF(OR(Y18="",AA18=""),0,IF(AND(ISERROR(MATCH($AB18,$P$16:$P$23,0)),ISERROR(MATCH($AB18,$V$16:$V$23,0))),0,Puntos!$H$14))</f>
        <v>0</v>
      </c>
      <c r="AE18" s="301">
        <f>CalculosAntonio!AR6*Puntos!$H$12</f>
        <v>0</v>
      </c>
      <c r="AF18" s="301">
        <f>CalculosAntonio!AS6*Puntos!$H$13</f>
        <v>0</v>
      </c>
      <c r="AG18" s="301">
        <f>IF('Octavos de Final'!$G15="",0,'Octavos de Final'!$G15)</f>
        <v>0</v>
      </c>
      <c r="AH18" s="301">
        <f>IF('Octavos de Final'!$G17="",0,'Octavos de Final'!$G17)</f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94" t="str">
        <f>IF(Quiniela!$C19="","",Quiniela!$C19)</f>
        <v/>
      </c>
      <c r="D19" s="302" t="s">
        <v>522</v>
      </c>
      <c r="E19" s="394" t="str">
        <f>IF(Quiniela!$E19="","",Quiniela!$E19)</f>
        <v/>
      </c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293" t="str">
        <f>CalculosAntonio!V7</f>
        <v>1ero Grupo D</v>
      </c>
      <c r="Q19" s="276" t="str">
        <f>IF(Quiniela!Q19="","",Quiniela!Q19)</f>
        <v/>
      </c>
      <c r="R19" s="276" t="str">
        <f>IF(Quiniela!R19="","",Quiniela!R19)</f>
        <v/>
      </c>
      <c r="S19" s="295" t="s">
        <v>522</v>
      </c>
      <c r="T19" s="276" t="str">
        <f>IF(Quiniela!T19="","",Quiniela!T19)</f>
        <v/>
      </c>
      <c r="U19" s="276" t="str">
        <f>IF(Quiniela!U19="","",Quiniela!U19)</f>
        <v/>
      </c>
      <c r="V19" s="296" t="str">
        <f>CalculosAntonio!AA7</f>
        <v>2do Grupo C</v>
      </c>
      <c r="W19" s="397"/>
      <c r="X19" s="298" t="s">
        <v>54</v>
      </c>
      <c r="Y19" s="299">
        <v>3</v>
      </c>
      <c r="Z19" s="302" t="s">
        <v>522</v>
      </c>
      <c r="AA19" s="299">
        <v>0</v>
      </c>
      <c r="AB19" s="300" t="s">
        <v>49</v>
      </c>
      <c r="AC19" s="301">
        <f>IF(OR(Y19="",AA19=""),0,IF(AND(ISERROR(MATCH($X19,$P$16:$P$23,0)),ISERROR(MATCH($X19,$V$16:$V$23,0))),0,Puntos!$H$14))</f>
        <v>0</v>
      </c>
      <c r="AD19" s="301">
        <f>IF(OR(Y19="",AA19=""),0,IF(AND(ISERROR(MATCH($AB19,$P$16:$P$23,0)),ISERROR(MATCH($AB19,$V$16:$V$23,0))),0,Puntos!$H$14))</f>
        <v>0</v>
      </c>
      <c r="AE19" s="301">
        <f>CalculosAntonio!AR7*Puntos!$H$12</f>
        <v>0</v>
      </c>
      <c r="AF19" s="301">
        <f>CalculosAntonio!AS7*Puntos!$H$13</f>
        <v>0</v>
      </c>
      <c r="AG19" s="301">
        <f>IF('Octavos de Final'!$G19="",0,'Octavos de Final'!$G19)</f>
        <v>0</v>
      </c>
      <c r="AH19" s="301">
        <f>IF('Octavos de Final'!$G21="",0,'Octavos de Final'!$G21)</f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94" t="str">
        <f>IF(Quiniela!$C20="","",Quiniela!$C20)</f>
        <v/>
      </c>
      <c r="D20" s="302" t="s">
        <v>522</v>
      </c>
      <c r="E20" s="394" t="str">
        <f>IF(Quiniela!$E20="","",Quiniela!$E20)</f>
        <v/>
      </c>
      <c r="F20" s="388" t="s">
        <v>27</v>
      </c>
      <c r="G20" s="290">
        <v>0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293" t="str">
        <f>CalculosAntonio!V8</f>
        <v>1ero Grupo E</v>
      </c>
      <c r="Q20" s="276" t="str">
        <f>IF(Quiniela!Q20="","",Quiniela!Q20)</f>
        <v/>
      </c>
      <c r="R20" s="276" t="str">
        <f>IF(Quiniela!R20="","",Quiniela!R20)</f>
        <v/>
      </c>
      <c r="S20" s="295" t="s">
        <v>522</v>
      </c>
      <c r="T20" s="276" t="str">
        <f>IF(Quiniela!T20="","",Quiniela!T20)</f>
        <v/>
      </c>
      <c r="U20" s="276" t="str">
        <f>IF(Quiniela!U20="","",Quiniela!U20)</f>
        <v/>
      </c>
      <c r="V20" s="296" t="str">
        <f>CalculosAntonio!AA8</f>
        <v>2do Grupo F</v>
      </c>
      <c r="W20" s="397"/>
      <c r="X20" s="298" t="s">
        <v>60</v>
      </c>
      <c r="Y20" s="299">
        <v>1</v>
      </c>
      <c r="Z20" s="302" t="s">
        <v>522</v>
      </c>
      <c r="AA20" s="299">
        <v>1</v>
      </c>
      <c r="AB20" s="300" t="s">
        <v>67</v>
      </c>
      <c r="AC20" s="301">
        <f>IF(OR(Y20="",AA20=""),0,IF(AND(ISERROR(MATCH($X20,$P$16:$P$23,0)),ISERROR(MATCH($X20,$V$16:$V$23,0))),0,Puntos!$H$14))</f>
        <v>0</v>
      </c>
      <c r="AD20" s="301">
        <f>IF(OR(Y20="",AA20=""),0,IF(AND(ISERROR(MATCH($AB20,$P$16:$P$23,0)),ISERROR(MATCH($AB20,$V$16:$V$23,0))),0,Puntos!$H$14))</f>
        <v>0</v>
      </c>
      <c r="AE20" s="301">
        <f>CalculosAntonio!AR8*Puntos!$H$12</f>
        <v>0</v>
      </c>
      <c r="AF20" s="301">
        <f>CalculosAntonio!AS8*Puntos!$H$13</f>
        <v>0</v>
      </c>
      <c r="AG20" s="301">
        <f>IF('Octavos de Final'!$G23="",0,'Octavos de Final'!$G23)</f>
        <v>0</v>
      </c>
      <c r="AH20" s="301">
        <f>IF('Octavos de Final'!$G25="",0,'Octavos de Final'!$G25)</f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94" t="str">
        <f>IF(Quiniela!$C21="","",Quiniela!$C21)</f>
        <v/>
      </c>
      <c r="D21" s="305" t="s">
        <v>522</v>
      </c>
      <c r="E21" s="394" t="str">
        <f>IF(Quiniela!$E21="","",Quiniela!$E21)</f>
        <v/>
      </c>
      <c r="F21" s="385" t="s">
        <v>25</v>
      </c>
      <c r="G21" s="307">
        <v>1</v>
      </c>
      <c r="H21" s="308" t="s">
        <v>24</v>
      </c>
      <c r="I21" s="307">
        <v>3</v>
      </c>
      <c r="J21" s="383">
        <v>0</v>
      </c>
      <c r="K21" s="383">
        <v>0</v>
      </c>
      <c r="L21" s="163"/>
      <c r="M21" s="163"/>
      <c r="N21" s="163"/>
      <c r="O21" s="266">
        <v>54</v>
      </c>
      <c r="P21" s="293" t="str">
        <f>CalculosAntonio!V9</f>
        <v>1ero Grupo G</v>
      </c>
      <c r="Q21" s="276" t="str">
        <f>IF(Quiniela!Q21="","",Quiniela!Q21)</f>
        <v/>
      </c>
      <c r="R21" s="276" t="str">
        <f>IF(Quiniela!R21="","",Quiniela!R21)</f>
        <v/>
      </c>
      <c r="S21" s="295" t="s">
        <v>522</v>
      </c>
      <c r="T21" s="276" t="str">
        <f>IF(Quiniela!T21="","",Quiniela!T21)</f>
        <v/>
      </c>
      <c r="U21" s="276" t="str">
        <f>IF(Quiniela!U21="","",Quiniela!U21)</f>
        <v/>
      </c>
      <c r="V21" s="296" t="str">
        <f>CalculosAntonio!AA9</f>
        <v>2do Grupo H</v>
      </c>
      <c r="W21" s="397"/>
      <c r="X21" s="298" t="s">
        <v>70</v>
      </c>
      <c r="Y21" s="299">
        <v>2</v>
      </c>
      <c r="Z21" s="302" t="s">
        <v>522</v>
      </c>
      <c r="AA21" s="299">
        <v>1</v>
      </c>
      <c r="AB21" s="300" t="s">
        <v>77</v>
      </c>
      <c r="AC21" s="301">
        <f>IF(OR(Y21="",AA21=""),0,IF(AND(ISERROR(MATCH($X21,$P$16:$P$23,0)),ISERROR(MATCH($X21,$V$16:$V$23,0))),0,Puntos!$H$14))</f>
        <v>0</v>
      </c>
      <c r="AD21" s="301">
        <f>IF(OR(Y21="",AA21=""),0,IF(AND(ISERROR(MATCH($AB21,$P$16:$P$23,0)),ISERROR(MATCH($AB21,$V$16:$V$23,0))),0,Puntos!$H$14))</f>
        <v>0</v>
      </c>
      <c r="AE21" s="301">
        <f>CalculosAntonio!AR9*Puntos!$H$12</f>
        <v>0</v>
      </c>
      <c r="AF21" s="301">
        <f>CalculosAntonio!AS9*Puntos!$H$13</f>
        <v>0</v>
      </c>
      <c r="AG21" s="301">
        <f>IF('Octavos de Final'!$G27="",0,'Octavos de Final'!$G27)</f>
        <v>0</v>
      </c>
      <c r="AH21" s="301">
        <f>IF('Octavos de Final'!$G29="",0,'Octavos de Final'!$G29)</f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293" t="str">
        <f>CalculosAntonio!V10</f>
        <v>1ero Grupo F</v>
      </c>
      <c r="Q22" s="276" t="str">
        <f>IF(Quiniela!Q22="","",Quiniela!Q22)</f>
        <v/>
      </c>
      <c r="R22" s="276" t="str">
        <f>IF(Quiniela!R22="","",Quiniela!R22)</f>
        <v/>
      </c>
      <c r="S22" s="295" t="s">
        <v>522</v>
      </c>
      <c r="T22" s="276" t="str">
        <f>IF(Quiniela!T22="","",Quiniela!T22)</f>
        <v/>
      </c>
      <c r="U22" s="276" t="str">
        <f>IF(Quiniela!U22="","",Quiniela!U22)</f>
        <v/>
      </c>
      <c r="V22" s="296" t="str">
        <f>CalculosAntonio!AA10</f>
        <v>2do Grupo E</v>
      </c>
      <c r="W22" s="397"/>
      <c r="X22" s="298" t="s">
        <v>64</v>
      </c>
      <c r="Y22" s="299">
        <v>3</v>
      </c>
      <c r="Z22" s="302" t="s">
        <v>522</v>
      </c>
      <c r="AA22" s="299">
        <v>0</v>
      </c>
      <c r="AB22" s="300" t="s">
        <v>59</v>
      </c>
      <c r="AC22" s="301">
        <f>IF(OR(Y22="",AA22=""),0,IF(AND(ISERROR(MATCH($X22,$P$16:$P$23,0)),ISERROR(MATCH($X22,$V$16:$V$23,0))),0,Puntos!$H$14))</f>
        <v>0</v>
      </c>
      <c r="AD22" s="301">
        <f>IF(OR(Y22="",AA22=""),0,IF(AND(ISERROR(MATCH($AB22,$P$16:$P$23,0)),ISERROR(MATCH($AB22,$V$16:$V$23,0))),0,Puntos!$H$14))</f>
        <v>0</v>
      </c>
      <c r="AE22" s="301">
        <f>CalculosAntonio!AR10*Puntos!$H$12</f>
        <v>0</v>
      </c>
      <c r="AF22" s="301">
        <f>CalculosAntonio!AS10*Puntos!$H$13</f>
        <v>0</v>
      </c>
      <c r="AG22" s="301">
        <f>IF('Octavos de Final'!$G31="",0,'Octavos de Final'!$G31)</f>
        <v>0</v>
      </c>
      <c r="AH22" s="301">
        <f>IF('Octavos de Final'!$G33="",0,'Octavos de Final'!$G33)</f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313" t="str">
        <f>CalculosAntonio!V11</f>
        <v>1ero Grupo H</v>
      </c>
      <c r="Q23" s="276" t="str">
        <f>IF(Quiniela!Q23="","",Quiniela!Q23)</f>
        <v/>
      </c>
      <c r="R23" s="276" t="str">
        <f>IF(Quiniela!R23="","",Quiniela!R23)</f>
        <v/>
      </c>
      <c r="S23" s="315" t="s">
        <v>522</v>
      </c>
      <c r="T23" s="276" t="str">
        <f>IF(Quiniela!T23="","",Quiniela!T23)</f>
        <v/>
      </c>
      <c r="U23" s="276" t="str">
        <f>IF(Quiniela!U23="","",Quiniela!U23)</f>
        <v/>
      </c>
      <c r="V23" s="316" t="str">
        <f>CalculosAntonio!AA11</f>
        <v>2do Grupo G</v>
      </c>
      <c r="W23" s="402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69</v>
      </c>
      <c r="AC23" s="384">
        <f>IF(OR(Y23="",AA23=""),0,IF(AND(ISERROR(MATCH($X23,$P$16:$P$23,0)),ISERROR(MATCH($X23,$V$16:$V$23,0))),0,Puntos!$H$14))</f>
        <v>0</v>
      </c>
      <c r="AD23" s="384">
        <f>IF(OR(Y23="",AA23=""),0,IF(AND(ISERROR(MATCH($AB23,$P$16:$P$23,0)),ISERROR(MATCH($AB23,$V$16:$V$23,0))),0,Puntos!$H$14))</f>
        <v>0</v>
      </c>
      <c r="AE23" s="384">
        <f>CalculosAntonio!AR11*Puntos!$H$12</f>
        <v>0</v>
      </c>
      <c r="AF23" s="384">
        <f>CalculosAntonio!AS11*Puntos!$H$13</f>
        <v>0</v>
      </c>
      <c r="AG23" s="384">
        <f>IF('Octavos de Final'!$G35="",0,'Octavos de Final'!$G35)</f>
        <v>0</v>
      </c>
      <c r="AH23" s="384">
        <f>IF('Octavos de Final'!$G37="",0,'Octavos de Final'!$G37)</f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10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10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 t="str">
        <f>IF(Quiniela!$C27="","",Quiniela!$C27)</f>
        <v/>
      </c>
      <c r="D27" s="269" t="s">
        <v>522</v>
      </c>
      <c r="E27" s="394" t="str">
        <f>IF(Quiniela!$E27="","",Quiniela!$E27)</f>
        <v/>
      </c>
      <c r="F27" s="408" t="s">
        <v>44</v>
      </c>
      <c r="G27" s="271">
        <v>3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94" t="str">
        <f>IF(Quiniela!$C28="","",Quiniela!$C28)</f>
        <v/>
      </c>
      <c r="D28" s="302" t="s">
        <v>522</v>
      </c>
      <c r="E28" s="394" t="str">
        <f>IF(Quiniela!$E28="","",Quiniela!$E28)</f>
        <v/>
      </c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94" t="str">
        <f>IF(Quiniela!$C29="","",Quiniela!$C29)</f>
        <v/>
      </c>
      <c r="D29" s="302" t="s">
        <v>522</v>
      </c>
      <c r="E29" s="394" t="str">
        <f>IF(Quiniela!$E29="","",Quiniela!$E29)</f>
        <v/>
      </c>
      <c r="F29" s="406" t="s">
        <v>44</v>
      </c>
      <c r="G29" s="290">
        <v>0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94" t="str">
        <f>IF(Quiniela!$C30="","",Quiniela!$C30)</f>
        <v/>
      </c>
      <c r="D30" s="302" t="s">
        <v>522</v>
      </c>
      <c r="E30" s="394" t="str">
        <f>IF(Quiniela!$E30="","",Quiniela!$E30)</f>
        <v/>
      </c>
      <c r="F30" s="406" t="s">
        <v>45</v>
      </c>
      <c r="G30" s="290">
        <v>1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275" t="str">
        <f>IF(OR(P16="1ero Grupo A",V16="2do Grupo B",Q16="",U16=""),"OF1",IF((Q16+R16)&gt;(T16+U16),P16,V16))</f>
        <v>OF1</v>
      </c>
      <c r="Q30" s="276" t="str">
        <f>IF(Quiniela!Q30="","",Quiniela!Q30)</f>
        <v/>
      </c>
      <c r="R30" s="276" t="str">
        <f>IF(Quiniela!R30="","",Quiniela!R30)</f>
        <v/>
      </c>
      <c r="S30" s="278" t="s">
        <v>522</v>
      </c>
      <c r="T30" s="276" t="str">
        <f>IF(Quiniela!T30="","",Quiniela!T30)</f>
        <v/>
      </c>
      <c r="U30" s="276" t="str">
        <f>IF(Quiniela!U30="","",Quiniela!U30)</f>
        <v/>
      </c>
      <c r="V30" s="279" t="str">
        <f>IF(OR(P17="1ero Grupo C",V17="2do Grupo D",Q17="",U17=""),"OF2",IF((Q17+R17)&gt;(T17+U17),P17,V17))</f>
        <v>OF2</v>
      </c>
      <c r="W30" s="403"/>
      <c r="X30" s="281" t="s">
        <v>25</v>
      </c>
      <c r="Y30" s="282">
        <v>3</v>
      </c>
      <c r="Z30" s="269" t="s">
        <v>522</v>
      </c>
      <c r="AA30" s="282">
        <v>2</v>
      </c>
      <c r="AB30" s="284" t="s">
        <v>57</v>
      </c>
      <c r="AC30" s="285">
        <f>IF(OR(Y30="",AA30=""),0,IF(AND(ISERROR(MATCH($X30,$P$30:$P$33,0)),ISERROR(MATCH($X30,$V$30:$V$33,0))),0,Puntos!$H$15))</f>
        <v>0</v>
      </c>
      <c r="AD30" s="285">
        <f>IF(OR(Y30="",AA30=""),0,IF(AND(ISERROR(MATCH($AB30,$P$30:$P$33,0)),ISERROR(MATCH($AB30,$V$30:$V$33,0))),0,Puntos!$H$15))</f>
        <v>0</v>
      </c>
      <c r="AE30" s="285">
        <f>CalculosAntonio!AR12*Puntos!$H$12</f>
        <v>0</v>
      </c>
      <c r="AF30" s="285">
        <f>CalculosAntonio!AS12*Puntos!$H$13</f>
        <v>0</v>
      </c>
      <c r="AG30" s="285">
        <f>IF('Cuartos de Final'!$G7="",0,'Cuartos de Final'!$G7)</f>
        <v>0</v>
      </c>
      <c r="AH30" s="285">
        <f>IF('Cuartos de Final'!$G9="",0,'Cuartos de Final'!$G9)</f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94" t="str">
        <f>IF(Quiniela!$C31="","",Quiniela!$C31)</f>
        <v/>
      </c>
      <c r="D31" s="302" t="s">
        <v>522</v>
      </c>
      <c r="E31" s="394" t="str">
        <f>IF(Quiniela!$E31="","",Quiniela!$E31)</f>
        <v/>
      </c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293" t="str">
        <f>IF(OR(P20="1ero Grupo E",V20="2do Grupo F",Q20="",U20=""),"OF5",IF((Q20+R20)&gt;(T20+U20),P20,V20))</f>
        <v>OF5</v>
      </c>
      <c r="Q31" s="276" t="str">
        <f>IF(Quiniela!Q31="","",Quiniela!Q31)</f>
        <v/>
      </c>
      <c r="R31" s="276" t="str">
        <f>IF(Quiniela!R31="","",Quiniela!R31)</f>
        <v/>
      </c>
      <c r="S31" s="278" t="s">
        <v>522</v>
      </c>
      <c r="T31" s="276" t="str">
        <f>IF(Quiniela!T31="","",Quiniela!T31)</f>
        <v/>
      </c>
      <c r="U31" s="276" t="str">
        <f>IF(Quiniela!U31="","",Quiniela!U31)</f>
        <v/>
      </c>
      <c r="V31" s="296" t="str">
        <f>IF(OR(P21="1ero Grupo G",V21="2do Grupo H",Q21="",U21=""),"OF6",IF((Q21+R21)&gt;(T21+U21),P21,V21))</f>
        <v>OF6</v>
      </c>
      <c r="W31" s="397"/>
      <c r="X31" s="298" t="s">
        <v>60</v>
      </c>
      <c r="Y31" s="299">
        <v>0</v>
      </c>
      <c r="Z31" s="302" t="s">
        <v>522</v>
      </c>
      <c r="AA31" s="299">
        <v>1</v>
      </c>
      <c r="AB31" s="300" t="s">
        <v>70</v>
      </c>
      <c r="AC31" s="301">
        <f>IF(OR(Y31="",AA31=""),0,IF(AND(ISERROR(MATCH($X31,$P$30:$P$33,0)),ISERROR(MATCH($X31,$V$30:$V$33,0))),0,Puntos!$H$15))</f>
        <v>0</v>
      </c>
      <c r="AD31" s="301">
        <f>IF(OR(Y31="",AA31=""),0,IF(AND(ISERROR(MATCH($AB31,$P$30:$P$33,0)),ISERROR(MATCH($AB31,$V$30:$V$33,0))),0,Puntos!$H$15))</f>
        <v>0</v>
      </c>
      <c r="AE31" s="301">
        <f>CalculosAntonio!AR13*Puntos!$H$12</f>
        <v>0</v>
      </c>
      <c r="AF31" s="301">
        <f>CalculosAntonio!AS13*Puntos!$H$13</f>
        <v>0</v>
      </c>
      <c r="AG31" s="301">
        <f>IF('Cuartos de Final'!$G11="",0,'Cuartos de Final'!$G11)</f>
        <v>0</v>
      </c>
      <c r="AH31" s="301">
        <f>IF('Cuartos de Final'!$G13="",0,'Cuartos de Final'!$G13)</f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94" t="str">
        <f>IF(Quiniela!$C32="","",Quiniela!$C32)</f>
        <v/>
      </c>
      <c r="D32" s="305" t="s">
        <v>522</v>
      </c>
      <c r="E32" s="394" t="str">
        <f>IF(Quiniela!$E32="","",Quiniela!$E32)</f>
        <v/>
      </c>
      <c r="F32" s="404" t="s">
        <v>45</v>
      </c>
      <c r="G32" s="307">
        <v>1</v>
      </c>
      <c r="H32" s="308" t="s">
        <v>24</v>
      </c>
      <c r="I32" s="307">
        <v>2</v>
      </c>
      <c r="J32" s="383">
        <v>0</v>
      </c>
      <c r="K32" s="383">
        <v>0</v>
      </c>
      <c r="L32" s="163"/>
      <c r="M32" s="163"/>
      <c r="N32" s="163"/>
      <c r="O32" s="266">
        <v>59</v>
      </c>
      <c r="P32" s="293" t="str">
        <f>IF(OR(P18="1ero Grupo B",V18="2do Grupo A",Q18="",U18=""),"OF3",IF((Q18+R18)&gt;(T18+U18),P18,V18))</f>
        <v>OF3</v>
      </c>
      <c r="Q32" s="276" t="str">
        <f>IF(Quiniela!Q32="","",Quiniela!Q32)</f>
        <v/>
      </c>
      <c r="R32" s="276" t="str">
        <f>IF(Quiniela!R32="","",Quiniela!R32)</f>
        <v/>
      </c>
      <c r="S32" s="278" t="s">
        <v>522</v>
      </c>
      <c r="T32" s="276" t="str">
        <f>IF(Quiniela!T32="","",Quiniela!T32)</f>
        <v/>
      </c>
      <c r="U32" s="276" t="str">
        <f>IF(Quiniela!U32="","",Quiniela!U32)</f>
        <v/>
      </c>
      <c r="V32" s="296" t="str">
        <f>IF(OR(P19="1ero Grupo D",V19="2do Grupo C",Q19="",U19=""),"OF4",IF((Q19+R19)&gt;(T19+U19),P19,V19))</f>
        <v>OF4</v>
      </c>
      <c r="W32" s="397"/>
      <c r="X32" s="298" t="s">
        <v>43</v>
      </c>
      <c r="Y32" s="299">
        <v>2</v>
      </c>
      <c r="Z32" s="302" t="s">
        <v>522</v>
      </c>
      <c r="AA32" s="299">
        <v>0</v>
      </c>
      <c r="AB32" s="300" t="s">
        <v>54</v>
      </c>
      <c r="AC32" s="301">
        <f>IF(OR(Y32="",AA32=""),0,IF(AND(ISERROR(MATCH($X32,$P$30:$P$33,0)),ISERROR(MATCH($X32,$V$30:$V$33,0))),0,Puntos!$H$15))</f>
        <v>0</v>
      </c>
      <c r="AD32" s="301">
        <f>IF(OR(Y32="",AA32=""),0,IF(AND(ISERROR(MATCH($AB32,$P$30:$P$33,0)),ISERROR(MATCH($AB32,$V$30:$V$33,0))),0,Puntos!$H$15))</f>
        <v>0</v>
      </c>
      <c r="AE32" s="301">
        <f>CalculosAntonio!AR14*Puntos!$H$12</f>
        <v>0</v>
      </c>
      <c r="AF32" s="301">
        <f>CalculosAntonio!AS14*Puntos!$H$13</f>
        <v>0</v>
      </c>
      <c r="AG32" s="301">
        <f>IF('Cuartos de Final'!$G15="",0,'Cuartos de Final'!$G15)</f>
        <v>0</v>
      </c>
      <c r="AH32" s="301">
        <f>IF('Cuartos de Final'!$G17="",0,'Cuartos de Final'!$G17)</f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313" t="str">
        <f>IF(OR(P22="1ero Grupo F",V22="2do Grupo E",Q22="",U22=""),"OF7",IF((Q22+R22)&gt;(T22+U22),P22,V22))</f>
        <v>OF7</v>
      </c>
      <c r="Q33" s="276" t="str">
        <f>IF(Quiniela!Q33="","",Quiniela!Q33)</f>
        <v/>
      </c>
      <c r="R33" s="276" t="str">
        <f>IF(Quiniela!R33="","",Quiniela!R33)</f>
        <v/>
      </c>
      <c r="S33" s="278" t="s">
        <v>522</v>
      </c>
      <c r="T33" s="276" t="str">
        <f>IF(Quiniela!T33="","",Quiniela!T33)</f>
        <v/>
      </c>
      <c r="U33" s="276" t="str">
        <f>IF(Quiniela!U33="","",Quiniela!U33)</f>
        <v/>
      </c>
      <c r="V33" s="316" t="str">
        <f>IF(OR(P23="1ero Grupo H",V23="2do Grupo G",Q23="",U23=""),"OF8",IF((Q23+R23)&gt;(T23+U23),P23,V23))</f>
        <v>OF8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69</v>
      </c>
      <c r="AC33" s="384">
        <f>IF(OR(Y33="",AA33=""),0,IF(AND(ISERROR(MATCH($X33,$P$30:$P$33,0)),ISERROR(MATCH($X33,$V$30:$V$33,0))),0,Puntos!$H$15))</f>
        <v>0</v>
      </c>
      <c r="AD33" s="384">
        <f>IF(OR(Y33="",AA33=""),0,IF(AND(ISERROR(MATCH($AB33,$P$30:$P$33,0)),ISERROR(MATCH($AB33,$V$30:$V$33,0))),0,Puntos!$H$15))</f>
        <v>0</v>
      </c>
      <c r="AE33" s="384">
        <f>CalculosAntonio!AR15*Puntos!$H$12</f>
        <v>0</v>
      </c>
      <c r="AF33" s="384">
        <f>CalculosAntonio!AS15*Puntos!$H$13</f>
        <v>0</v>
      </c>
      <c r="AG33" s="384">
        <f>IF('Cuartos de Final'!$G19="",0,'Cuartos de Final'!$G19)</f>
        <v>0</v>
      </c>
      <c r="AH33" s="384">
        <f>IF('Cuartos de Final'!$G21="",0,'Cuartos de Final'!$G21)</f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 t="str">
        <f>IF(Quiniela!$C38="","",Quiniela!$C38)</f>
        <v/>
      </c>
      <c r="D38" s="269" t="s">
        <v>522</v>
      </c>
      <c r="E38" s="394" t="str">
        <f>IF(Quiniela!$E38="","",Quiniela!$E38)</f>
        <v/>
      </c>
      <c r="F38" s="393" t="s">
        <v>50</v>
      </c>
      <c r="G38" s="271">
        <v>1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94" t="str">
        <f>IF(Quiniela!$C39="","",Quiniela!$C39)</f>
        <v/>
      </c>
      <c r="D39" s="302" t="s">
        <v>522</v>
      </c>
      <c r="E39" s="394" t="str">
        <f>IF(Quiniela!$E39="","",Quiniela!$E39)</f>
        <v/>
      </c>
      <c r="F39" s="388" t="s">
        <v>52</v>
      </c>
      <c r="G39" s="290">
        <v>2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382"/>
      <c r="AA39" s="382"/>
      <c r="AB39" s="38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94" t="str">
        <f>IF(Quiniela!$C40="","",Quiniela!$C40)</f>
        <v/>
      </c>
      <c r="D40" s="302" t="s">
        <v>522</v>
      </c>
      <c r="E40" s="394" t="str">
        <f>IF(Quiniela!$E40="","",Quiniela!$E40)</f>
        <v/>
      </c>
      <c r="F40" s="388" t="s">
        <v>51</v>
      </c>
      <c r="G40" s="290">
        <v>1</v>
      </c>
      <c r="H40" s="291" t="s">
        <v>24</v>
      </c>
      <c r="I40" s="290">
        <v>2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275" t="str">
        <f>IF(OR(P30="OF1",V30="OF2",Q30="",U30=""),"CF1",IF((Q30+R30)&gt;(T30+U30),P30,V30))</f>
        <v>CF1</v>
      </c>
      <c r="Q40" s="276" t="str">
        <f>IF(Quiniela!Q40="","",Quiniela!Q40)</f>
        <v/>
      </c>
      <c r="R40" s="276" t="str">
        <f>IF(Quiniela!R40="","",Quiniela!R40)</f>
        <v/>
      </c>
      <c r="S40" s="278" t="s">
        <v>522</v>
      </c>
      <c r="T40" s="276" t="str">
        <f>IF(Quiniela!T40="","",Quiniela!T40)</f>
        <v/>
      </c>
      <c r="U40" s="276" t="str">
        <f>IF(Quiniela!U40="","",Quiniela!U40)</f>
        <v/>
      </c>
      <c r="V40" s="279" t="str">
        <f>IF(OR(P31="OF5",V31="OF6",Q31="",U31=""),"CF2",IF((Q31+R31)&gt;(T31+U31),P31,V31))</f>
        <v>CF2</v>
      </c>
      <c r="W40" s="403"/>
      <c r="X40" s="281" t="s">
        <v>25</v>
      </c>
      <c r="Y40" s="282">
        <v>1</v>
      </c>
      <c r="Z40" s="269" t="s">
        <v>522</v>
      </c>
      <c r="AA40" s="282">
        <v>0</v>
      </c>
      <c r="AB40" s="284" t="s">
        <v>70</v>
      </c>
      <c r="AC40" s="285">
        <f>IF(OR(Y40="",AA40=""),0,IF(AND(ISERROR(MATCH($X40,$P$40:$P$41,0)),ISERROR(MATCH($X40,$V$40:$V$41,0))),0,Puntos!$H$16))</f>
        <v>0</v>
      </c>
      <c r="AD40" s="285">
        <f>IF(OR(Y40="",AA40=""),0,IF(AND(ISERROR(MATCH($AB40,$P$40:$P$41,0)),ISERROR(MATCH($AB40,$V$40:$V$41,0))),0,Puntos!$H$16))</f>
        <v>0</v>
      </c>
      <c r="AE40" s="285">
        <f>CalculosAntonio!AR16*Puntos!$H$12</f>
        <v>0</v>
      </c>
      <c r="AF40" s="285">
        <f>CalculosAntonio!AS16*Puntos!$H$13</f>
        <v>0</v>
      </c>
      <c r="AG40" s="285">
        <f>IF(Semifinal!$G7="",0,Semifinal!$G7)</f>
        <v>0</v>
      </c>
      <c r="AH40" s="285">
        <f>IF(Semifinal!$G9="",0,Semifinal!$G9)</f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94" t="str">
        <f>IF(Quiniela!$C41="","",Quiniela!$C41)</f>
        <v/>
      </c>
      <c r="D41" s="302" t="s">
        <v>522</v>
      </c>
      <c r="E41" s="394" t="str">
        <f>IF(Quiniela!$E41="","",Quiniela!$E41)</f>
        <v/>
      </c>
      <c r="F41" s="388" t="s">
        <v>50</v>
      </c>
      <c r="G41" s="290">
        <v>1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313" t="str">
        <f>IF(OR(P32="OF3",V32="OF4",Q32="",U32=""),"CF3",IF((Q32+R32)&gt;(T32+U32),P32,V32))</f>
        <v>CF3</v>
      </c>
      <c r="Q41" s="276" t="str">
        <f>IF(Quiniela!Q41="","",Quiniela!Q41)</f>
        <v/>
      </c>
      <c r="R41" s="276" t="str">
        <f>IF(Quiniela!R41="","",Quiniela!R41)</f>
        <v/>
      </c>
      <c r="S41" s="278" t="s">
        <v>522</v>
      </c>
      <c r="T41" s="276" t="str">
        <f>IF(Quiniela!T41="","",Quiniela!T41)</f>
        <v/>
      </c>
      <c r="U41" s="276" t="str">
        <f>IF(Quiniela!U41="","",Quiniela!U41)</f>
        <v/>
      </c>
      <c r="V41" s="316" t="str">
        <f>IF(OR(P33="OF7",V33="OF8",Q33="",U33=""),"CF4",IF((Q33+R33)&gt;(T33+U33),P33,V33))</f>
        <v>CF4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384">
        <f>IF(OR(Y41="",AA41=""),0,IF(AND(ISERROR(MATCH($X41,$P$40:$P$41,0)),ISERROR(MATCH($X41,$V$40:$V$41,0))),0,Puntos!$H$16))</f>
        <v>0</v>
      </c>
      <c r="AD41" s="384">
        <f>IF(OR(Y41="",AA41=""),0,IF(AND(ISERROR(MATCH($AB41,$P$40:$P$41,0)),ISERROR(MATCH($AB41,$V$40:$V$41,0))),0,Puntos!$H$16))</f>
        <v>0</v>
      </c>
      <c r="AE41" s="384">
        <f>CalculosAntonio!AR17*Puntos!$H$12</f>
        <v>0</v>
      </c>
      <c r="AF41" s="384">
        <f>CalculosAntonio!AS17*Puntos!$H$13</f>
        <v>0</v>
      </c>
      <c r="AG41" s="384">
        <f>IF(Semifinal!$G11="",0,Semifinal!$G11)</f>
        <v>0</v>
      </c>
      <c r="AH41" s="384">
        <f>IF(Semifinal!$G13="",0,Semifinal!$G13)</f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94" t="str">
        <f>IF(Quiniela!$C42="","",Quiniela!$C42)</f>
        <v/>
      </c>
      <c r="D42" s="302" t="s">
        <v>522</v>
      </c>
      <c r="E42" s="394" t="str">
        <f>IF(Quiniela!$E42="","",Quiniela!$E42)</f>
        <v/>
      </c>
      <c r="F42" s="388" t="s">
        <v>49</v>
      </c>
      <c r="G42" s="290">
        <v>0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94" t="str">
        <f>IF(Quiniela!$C43="","",Quiniela!$C43)</f>
        <v/>
      </c>
      <c r="D43" s="305" t="s">
        <v>522</v>
      </c>
      <c r="E43" s="394" t="str">
        <f>IF(Quiniela!$E43="","",Quiniela!$E43)</f>
        <v/>
      </c>
      <c r="F43" s="385" t="s">
        <v>51</v>
      </c>
      <c r="G43" s="307">
        <v>2</v>
      </c>
      <c r="H43" s="308" t="s">
        <v>24</v>
      </c>
      <c r="I43" s="307">
        <v>2</v>
      </c>
      <c r="J43" s="383">
        <v>0</v>
      </c>
      <c r="K43" s="38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382"/>
      <c r="AA47" s="382"/>
      <c r="AB47" s="38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334" t="str">
        <f>IF(OR(P40="CF1",V40="CF2",Q40="",U40=""),"P-SF1",IF((Q40+R40)&gt;(T40+U40),V40,P40))</f>
        <v>P-SF1</v>
      </c>
      <c r="Q48" s="276" t="str">
        <f>IF(Quiniela!Q48="","",Quiniela!Q48)</f>
        <v/>
      </c>
      <c r="R48" s="276" t="str">
        <f>IF(Quiniela!R48="","",Quiniela!R48)</f>
        <v/>
      </c>
      <c r="S48" s="278" t="s">
        <v>522</v>
      </c>
      <c r="T48" s="276" t="str">
        <f>IF(Quiniela!T48="","",Quiniela!T48)</f>
        <v/>
      </c>
      <c r="U48" s="276" t="str">
        <f>IF(Quiniela!U48="","",Quiniela!U48)</f>
        <v/>
      </c>
      <c r="V48" s="338" t="str">
        <f>IF(OR(P41="CF3",V41="CF4",Q41="",U41=""),"P-SF2",IF((Q41+R41)&gt;(T41+U41),V41,P41))</f>
        <v>P-SF2</v>
      </c>
      <c r="W48" s="401"/>
      <c r="X48" s="340" t="s">
        <v>70</v>
      </c>
      <c r="Y48" s="341">
        <v>1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f>CalculosAntonio!AR18*Puntos!$H$12</f>
        <v>0</v>
      </c>
      <c r="AF48" s="344">
        <f>CalculosAntonio!AS18*Puntos!$H$13</f>
        <v>0</v>
      </c>
      <c r="AG48" s="344">
        <f>IF('3er puesto y FINAL'!$G8="",0,'3er puesto y FINAL'!$G8)</f>
        <v>0</v>
      </c>
      <c r="AH48" s="344">
        <f>IF('3er puesto y FINAL'!$G10="",0,'3er puesto y FINAL'!$G10)</f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 t="str">
        <f>IF(Quiniela!$C49="","",Quiniela!$C49)</f>
        <v/>
      </c>
      <c r="D49" s="269" t="s">
        <v>522</v>
      </c>
      <c r="E49" s="394" t="str">
        <f>IF(Quiniela!$E49="","",Quiniela!$E49)</f>
        <v/>
      </c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94" t="str">
        <f>IF(Quiniela!$C50="","",Quiniela!$C50)</f>
        <v/>
      </c>
      <c r="D50" s="302" t="s">
        <v>522</v>
      </c>
      <c r="E50" s="394" t="str">
        <f>IF(Quiniela!$E50="","",Quiniela!$E50)</f>
        <v/>
      </c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94" t="str">
        <f>IF(Quiniela!$C51="","",Quiniela!$C51)</f>
        <v/>
      </c>
      <c r="D51" s="302" t="s">
        <v>522</v>
      </c>
      <c r="E51" s="394" t="str">
        <f>IF(Quiniela!$E51="","",Quiniela!$E51)</f>
        <v/>
      </c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94" t="str">
        <f>IF(Quiniela!$C52="","",Quiniela!$C52)</f>
        <v/>
      </c>
      <c r="D52" s="302" t="s">
        <v>522</v>
      </c>
      <c r="E52" s="394" t="str">
        <f>IF(Quiniela!$E52="","",Quiniela!$E52)</f>
        <v/>
      </c>
      <c r="F52" s="388" t="s">
        <v>55</v>
      </c>
      <c r="G52" s="290">
        <v>4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94" t="str">
        <f>IF(Quiniela!$C53="","",Quiniela!$C53)</f>
        <v/>
      </c>
      <c r="D53" s="302" t="s">
        <v>522</v>
      </c>
      <c r="E53" s="394" t="str">
        <f>IF(Quiniela!$E53="","",Quiniela!$E53)</f>
        <v/>
      </c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94" t="str">
        <f>IF(Quiniela!$C54="","",Quiniela!$C54)</f>
        <v/>
      </c>
      <c r="D54" s="305" t="s">
        <v>522</v>
      </c>
      <c r="E54" s="394" t="str">
        <f>IF(Quiniela!$E54="","",Quiniela!$E54)</f>
        <v/>
      </c>
      <c r="F54" s="385" t="s">
        <v>56</v>
      </c>
      <c r="G54" s="307">
        <v>1</v>
      </c>
      <c r="H54" s="308" t="s">
        <v>24</v>
      </c>
      <c r="I54" s="307">
        <v>3</v>
      </c>
      <c r="J54" s="383">
        <v>0</v>
      </c>
      <c r="K54" s="38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382"/>
      <c r="AA54" s="382"/>
      <c r="AB54" s="38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334" t="str">
        <f>IF(OR(P40="CF1",V40="CF2",Q40="",U40=""),"G-SF1",IF((Q40+R40)&lt;(T40+U40),V40,P40))</f>
        <v>G-SF1</v>
      </c>
      <c r="Q55" s="276" t="str">
        <f>IF(Quiniela!Q55="","",Quiniela!Q55)</f>
        <v/>
      </c>
      <c r="R55" s="276" t="str">
        <f>IF(Quiniela!R55="","",Quiniela!R55)</f>
        <v/>
      </c>
      <c r="S55" s="278" t="s">
        <v>522</v>
      </c>
      <c r="T55" s="276" t="str">
        <f>IF(Quiniela!T55="","",Quiniela!T55)</f>
        <v/>
      </c>
      <c r="U55" s="276" t="str">
        <f>IF(Quiniela!U55="","",Quiniela!U55)</f>
        <v/>
      </c>
      <c r="V55" s="338" t="str">
        <f>IF(OR(P41="CF3",V41="CF4",Q41="",U41=""),"G-SF2",IF((Q41+R41)&lt;(T41+U41),V41,P41))</f>
        <v>G-SF2</v>
      </c>
      <c r="W55" s="401"/>
      <c r="X55" s="340" t="s">
        <v>25</v>
      </c>
      <c r="Y55" s="341">
        <v>2</v>
      </c>
      <c r="Z55" s="400" t="s">
        <v>522</v>
      </c>
      <c r="AA55" s="341">
        <v>3</v>
      </c>
      <c r="AB55" s="343" t="s">
        <v>64</v>
      </c>
      <c r="AC55" s="285">
        <f>IF(OR(Y55="",AA55=""),0,IF(AND(ISERROR(MATCH($X55,$P$55,0)),ISERROR(MATCH($X55,$V$55,0))),0,Puntos!$H$17))</f>
        <v>0</v>
      </c>
      <c r="AD55" s="285">
        <f>IF(OR(Y55="",AA55=""),0,IF(AND(ISERROR(MATCH($AB55,$P$55,0)),ISERROR(MATCH($AB55,$V$55,0))),0,Puntos!$H$17))</f>
        <v>0</v>
      </c>
      <c r="AE55" s="285">
        <f>CalculosAntonio!AR19*Puntos!$H$12</f>
        <v>0</v>
      </c>
      <c r="AF55" s="285">
        <f>CalculosAntonio!AS19*Puntos!$H$13</f>
        <v>0</v>
      </c>
      <c r="AG55" s="285">
        <f>IF('3er puesto y FINAL'!$G15="",0,'3er puesto y FINAL'!$G15)</f>
        <v>0</v>
      </c>
      <c r="AH55" s="285">
        <f>IF('3er puesto y FINAL'!$G17="",0,'3er puesto y FINAL'!$G17)</f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f>IF(AND(P60=X60,P60&lt;&gt;""),Puntos!$H$18,0)</f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 t="str">
        <f>IF(Quiniela!$C60="","",Quiniela!$C60)</f>
        <v/>
      </c>
      <c r="D60" s="269" t="s">
        <v>522</v>
      </c>
      <c r="E60" s="394" t="str">
        <f>IF(Quiniela!$E60="","",Quiniela!$E60)</f>
        <v/>
      </c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572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94" t="str">
        <f>IF(Quiniela!$C61="","",Quiniela!$C61)</f>
        <v/>
      </c>
      <c r="D61" s="302" t="s">
        <v>522</v>
      </c>
      <c r="E61" s="394" t="str">
        <f>IF(Quiniela!$E61="","",Quiniela!$E61)</f>
        <v/>
      </c>
      <c r="F61" s="388" t="s">
        <v>62</v>
      </c>
      <c r="G61" s="290">
        <v>0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94" t="str">
        <f>IF(Quiniela!$C62="","",Quiniela!$C62)</f>
        <v/>
      </c>
      <c r="D62" s="302" t="s">
        <v>522</v>
      </c>
      <c r="E62" s="394" t="str">
        <f>IF(Quiniela!$E62="","",Quiniela!$E62)</f>
        <v/>
      </c>
      <c r="F62" s="388" t="s">
        <v>61</v>
      </c>
      <c r="G62" s="290">
        <v>1</v>
      </c>
      <c r="H62" s="291" t="s">
        <v>24</v>
      </c>
      <c r="I62" s="290">
        <v>0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94" t="str">
        <f>IF(Quiniela!$C63="","",Quiniela!$C63)</f>
        <v/>
      </c>
      <c r="D63" s="302" t="s">
        <v>522</v>
      </c>
      <c r="E63" s="394" t="str">
        <f>IF(Quiniela!$E63="","",Quiniela!$E63)</f>
        <v/>
      </c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94" t="str">
        <f>IF(Quiniela!$C64="","",Quiniela!$C64)</f>
        <v/>
      </c>
      <c r="D64" s="302" t="s">
        <v>522</v>
      </c>
      <c r="E64" s="394" t="str">
        <f>IF(Quiniela!$E64="","",Quiniela!$E64)</f>
        <v/>
      </c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94" t="str">
        <f>IF(Quiniela!$C65="","",Quiniela!$C65)</f>
        <v/>
      </c>
      <c r="D65" s="305" t="s">
        <v>522</v>
      </c>
      <c r="E65" s="394" t="str">
        <f>IF(Quiniela!$E65="","",Quiniela!$E65)</f>
        <v/>
      </c>
      <c r="F65" s="385" t="s">
        <v>61</v>
      </c>
      <c r="G65" s="307">
        <v>1</v>
      </c>
      <c r="H65" s="308" t="s">
        <v>24</v>
      </c>
      <c r="I65" s="307">
        <v>1</v>
      </c>
      <c r="J65" s="383">
        <v>0</v>
      </c>
      <c r="K65" s="38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 t="str">
        <f>IF(Quiniela!$C71="","",Quiniela!$C71)</f>
        <v/>
      </c>
      <c r="D71" s="269" t="s">
        <v>522</v>
      </c>
      <c r="E71" s="394" t="str">
        <f>IF(Quiniela!$E71="","",Quiniela!$E71)</f>
        <v/>
      </c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94" t="str">
        <f>IF(Quiniela!$C72="","",Quiniela!$C72)</f>
        <v/>
      </c>
      <c r="D72" s="302" t="s">
        <v>522</v>
      </c>
      <c r="E72" s="394" t="str">
        <f>IF(Quiniela!$E72="","",Quiniela!$E72)</f>
        <v/>
      </c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94" t="str">
        <f>IF(Quiniela!$C73="","",Quiniela!$C73)</f>
        <v/>
      </c>
      <c r="D73" s="302" t="s">
        <v>522</v>
      </c>
      <c r="E73" s="394" t="str">
        <f>IF(Quiniela!$E73="","",Quiniela!$E73)</f>
        <v/>
      </c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94" t="str">
        <f>IF(Quiniela!$C74="","",Quiniela!$C74)</f>
        <v/>
      </c>
      <c r="D74" s="302" t="s">
        <v>522</v>
      </c>
      <c r="E74" s="394" t="str">
        <f>IF(Quiniela!$E74="","",Quiniela!$E74)</f>
        <v/>
      </c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94" t="str">
        <f>IF(Quiniela!$C75="","",Quiniela!$C75)</f>
        <v/>
      </c>
      <c r="D75" s="302" t="s">
        <v>522</v>
      </c>
      <c r="E75" s="394" t="str">
        <f>IF(Quiniela!$E75="","",Quiniela!$E75)</f>
        <v/>
      </c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94" t="str">
        <f>IF(Quiniela!$C76="","",Quiniela!$C76)</f>
        <v/>
      </c>
      <c r="D76" s="305" t="s">
        <v>522</v>
      </c>
      <c r="E76" s="394" t="str">
        <f>IF(Quiniela!$E76="","",Quiniela!$E76)</f>
        <v/>
      </c>
      <c r="F76" s="385" t="s">
        <v>66</v>
      </c>
      <c r="G76" s="307">
        <v>0</v>
      </c>
      <c r="H76" s="308" t="s">
        <v>24</v>
      </c>
      <c r="I76" s="307">
        <v>0</v>
      </c>
      <c r="J76" s="383">
        <v>0</v>
      </c>
      <c r="K76" s="38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 t="str">
        <f>IF(Quiniela!$C82="","",Quiniela!$C82)</f>
        <v/>
      </c>
      <c r="D82" s="269" t="s">
        <v>522</v>
      </c>
      <c r="E82" s="394" t="str">
        <f>IF(Quiniela!$E82="","",Quiniela!$E82)</f>
        <v/>
      </c>
      <c r="F82" s="393" t="s">
        <v>70</v>
      </c>
      <c r="G82" s="271">
        <v>1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94" t="str">
        <f>IF(Quiniela!$C83="","",Quiniela!$C83)</f>
        <v/>
      </c>
      <c r="D83" s="302" t="s">
        <v>522</v>
      </c>
      <c r="E83" s="394" t="str">
        <f>IF(Quiniela!$E83="","",Quiniela!$E83)</f>
        <v/>
      </c>
      <c r="F83" s="388" t="s">
        <v>72</v>
      </c>
      <c r="G83" s="290">
        <v>0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94" t="str">
        <f>IF(Quiniela!$C84="","",Quiniela!$C84)</f>
        <v/>
      </c>
      <c r="D84" s="302" t="s">
        <v>522</v>
      </c>
      <c r="E84" s="394" t="str">
        <f>IF(Quiniela!$E84="","",Quiniela!$E84)</f>
        <v/>
      </c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94" t="str">
        <f>IF(Quiniela!$C85="","",Quiniela!$C85)</f>
        <v/>
      </c>
      <c r="D85" s="302" t="s">
        <v>522</v>
      </c>
      <c r="E85" s="394" t="str">
        <f>IF(Quiniela!$E85="","",Quiniela!$E85)</f>
        <v/>
      </c>
      <c r="F85" s="388" t="s">
        <v>70</v>
      </c>
      <c r="G85" s="290">
        <v>1</v>
      </c>
      <c r="H85" s="291" t="s">
        <v>24</v>
      </c>
      <c r="I85" s="290">
        <v>4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94" t="str">
        <f>IF(Quiniela!$C86="","",Quiniela!$C86)</f>
        <v/>
      </c>
      <c r="D86" s="302" t="s">
        <v>522</v>
      </c>
      <c r="E86" s="394" t="str">
        <f>IF(Quiniela!$E86="","",Quiniela!$E86)</f>
        <v/>
      </c>
      <c r="F86" s="388" t="s">
        <v>69</v>
      </c>
      <c r="G86" s="290">
        <v>0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94" t="str">
        <f>IF(Quiniela!$C87="","",Quiniela!$C87)</f>
        <v/>
      </c>
      <c r="D87" s="305" t="s">
        <v>522</v>
      </c>
      <c r="E87" s="394" t="str">
        <f>IF(Quiniela!$E87="","",Quiniela!$E87)</f>
        <v/>
      </c>
      <c r="F87" s="385" t="s">
        <v>71</v>
      </c>
      <c r="G87" s="307">
        <v>2</v>
      </c>
      <c r="H87" s="308" t="s">
        <v>24</v>
      </c>
      <c r="I87" s="307">
        <v>1</v>
      </c>
      <c r="J87" s="383">
        <v>0</v>
      </c>
      <c r="K87" s="38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 t="str">
        <f>IF(Quiniela!$C93="","",Quiniela!$C93)</f>
        <v/>
      </c>
      <c r="D93" s="269" t="s">
        <v>522</v>
      </c>
      <c r="E93" s="394" t="str">
        <f>IF(Quiniela!$E93="","",Quiniela!$E93)</f>
        <v/>
      </c>
      <c r="F93" s="393" t="s">
        <v>75</v>
      </c>
      <c r="G93" s="271">
        <v>1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94" t="str">
        <f>IF(Quiniela!$C94="","",Quiniela!$C94)</f>
        <v/>
      </c>
      <c r="D94" s="302" t="s">
        <v>522</v>
      </c>
      <c r="E94" s="394" t="str">
        <f>IF(Quiniela!$E94="","",Quiniela!$E94)</f>
        <v/>
      </c>
      <c r="F94" s="388" t="s">
        <v>77</v>
      </c>
      <c r="G94" s="290">
        <v>1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94" t="str">
        <f>IF(Quiniela!$C95="","",Quiniela!$C95)</f>
        <v/>
      </c>
      <c r="D95" s="302" t="s">
        <v>522</v>
      </c>
      <c r="E95" s="394" t="str">
        <f>IF(Quiniela!$E95="","",Quiniela!$E95)</f>
        <v/>
      </c>
      <c r="F95" s="388" t="s">
        <v>76</v>
      </c>
      <c r="G95" s="290">
        <v>2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94" t="str">
        <f>IF(Quiniela!$C96="","",Quiniela!$C96)</f>
        <v/>
      </c>
      <c r="D96" s="302" t="s">
        <v>522</v>
      </c>
      <c r="E96" s="394" t="str">
        <f>IF(Quiniela!$E96="","",Quiniela!$E96)</f>
        <v/>
      </c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94" t="str">
        <f>IF(Quiniela!$C97="","",Quiniela!$C97)</f>
        <v/>
      </c>
      <c r="D97" s="302" t="s">
        <v>522</v>
      </c>
      <c r="E97" s="394" t="str">
        <f>IF(Quiniela!$E97="","",Quiniela!$E97)</f>
        <v/>
      </c>
      <c r="F97" s="388" t="s">
        <v>74</v>
      </c>
      <c r="G97" s="290">
        <v>1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94" t="str">
        <f>IF(Quiniela!$C98="","",Quiniela!$C98)</f>
        <v/>
      </c>
      <c r="D98" s="305" t="s">
        <v>522</v>
      </c>
      <c r="E98" s="394" t="str">
        <f>IF(Quiniela!$E98="","",Quiniela!$E98)</f>
        <v/>
      </c>
      <c r="F98" s="385" t="s">
        <v>76</v>
      </c>
      <c r="G98" s="307">
        <v>0</v>
      </c>
      <c r="H98" s="308" t="s">
        <v>24</v>
      </c>
      <c r="I98" s="307">
        <v>1</v>
      </c>
      <c r="J98" s="383">
        <v>0</v>
      </c>
      <c r="K98" s="38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Q6:X6"/>
    <mergeCell ref="D7:I7"/>
    <mergeCell ref="Q7:X7"/>
    <mergeCell ref="AB7:AF7"/>
    <mergeCell ref="D4:I4"/>
    <mergeCell ref="Q4:X4"/>
    <mergeCell ref="D5:I5"/>
    <mergeCell ref="Q5:R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B14:F15"/>
    <mergeCell ref="P14:V15"/>
    <mergeCell ref="W14:AB14"/>
    <mergeCell ref="AC14:AF14"/>
    <mergeCell ref="AG14:AH14"/>
    <mergeCell ref="W15:AB15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Q4:Q9 R5">
    <cfRule type="expression" dxfId="212" priority="13" stopIfTrue="1">
      <formula>IF($Q4="",1,0)=1</formula>
    </cfRule>
  </conditionalFormatting>
  <conditionalFormatting sqref="C38:C43 C27:C32 E27:E32 E38:E43 E16:E21 C16:C21">
    <cfRule type="cellIs" dxfId="211" priority="12" stopIfTrue="1" operator="equal">
      <formula>""</formula>
    </cfRule>
  </conditionalFormatting>
  <conditionalFormatting sqref="E49:E54 C49:C54">
    <cfRule type="cellIs" dxfId="210" priority="11" stopIfTrue="1" operator="equal">
      <formula>""</formula>
    </cfRule>
  </conditionalFormatting>
  <conditionalFormatting sqref="E60:E65 C60:C65">
    <cfRule type="cellIs" dxfId="209" priority="10" stopIfTrue="1" operator="equal">
      <formula>""</formula>
    </cfRule>
  </conditionalFormatting>
  <conditionalFormatting sqref="E71:E76 C71:C76">
    <cfRule type="cellIs" dxfId="208" priority="9" stopIfTrue="1" operator="equal">
      <formula>""</formula>
    </cfRule>
  </conditionalFormatting>
  <conditionalFormatting sqref="E82:E87 C82:C87">
    <cfRule type="cellIs" dxfId="207" priority="8" stopIfTrue="1" operator="equal">
      <formula>""</formula>
    </cfRule>
  </conditionalFormatting>
  <conditionalFormatting sqref="E93:E98 C93:C98">
    <cfRule type="cellIs" dxfId="206" priority="7" stopIfTrue="1" operator="equal">
      <formula>""</formula>
    </cfRule>
  </conditionalFormatting>
  <conditionalFormatting sqref="Q16:R23 T16:U23">
    <cfRule type="cellIs" dxfId="205" priority="6" stopIfTrue="1" operator="equal">
      <formula>""</formula>
    </cfRule>
  </conditionalFormatting>
  <conditionalFormatting sqref="Q30:R33 T30:U33">
    <cfRule type="cellIs" dxfId="204" priority="5" stopIfTrue="1" operator="equal">
      <formula>""</formula>
    </cfRule>
  </conditionalFormatting>
  <conditionalFormatting sqref="Q40:R40 T40:U40">
    <cfRule type="cellIs" dxfId="203" priority="4" stopIfTrue="1" operator="equal">
      <formula>""</formula>
    </cfRule>
  </conditionalFormatting>
  <conditionalFormatting sqref="Q41:R41 T41:U41">
    <cfRule type="cellIs" dxfId="202" priority="3" stopIfTrue="1" operator="equal">
      <formula>""</formula>
    </cfRule>
  </conditionalFormatting>
  <conditionalFormatting sqref="Q48:R48 T48:U48">
    <cfRule type="cellIs" dxfId="201" priority="2" stopIfTrue="1" operator="equal">
      <formula>""</formula>
    </cfRule>
  </conditionalFormatting>
  <conditionalFormatting sqref="Q55:R55 T55:U55">
    <cfRule type="cellIs" dxfId="200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"/>
  <dimension ref="A1:BA152"/>
  <sheetViews>
    <sheetView workbookViewId="0">
      <selection activeCell="K23" sqref="K23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612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3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57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1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2</v>
      </c>
      <c r="AB18" s="300" t="s">
        <v>27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1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1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3</v>
      </c>
      <c r="J21" s="423">
        <v>0</v>
      </c>
      <c r="K21" s="423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4</v>
      </c>
      <c r="Z21" s="302" t="s">
        <v>522</v>
      </c>
      <c r="AA21" s="299">
        <v>0</v>
      </c>
      <c r="AB21" s="300" t="s">
        <v>74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2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76</v>
      </c>
      <c r="Y23" s="319">
        <v>1</v>
      </c>
      <c r="Z23" s="305" t="s">
        <v>522</v>
      </c>
      <c r="AA23" s="319">
        <v>3</v>
      </c>
      <c r="AB23" s="321" t="s">
        <v>70</v>
      </c>
      <c r="AC23" s="424">
        <v>0</v>
      </c>
      <c r="AD23" s="424">
        <v>0</v>
      </c>
      <c r="AE23" s="424">
        <v>0</v>
      </c>
      <c r="AF23" s="424">
        <v>0</v>
      </c>
      <c r="AG23" s="424">
        <v>0</v>
      </c>
      <c r="AH23" s="42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2</v>
      </c>
      <c r="J32" s="423">
        <v>0</v>
      </c>
      <c r="K32" s="423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3</v>
      </c>
      <c r="Z32" s="302" t="s">
        <v>522</v>
      </c>
      <c r="AA32" s="299">
        <v>2</v>
      </c>
      <c r="AB32" s="300" t="s">
        <v>54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1</v>
      </c>
      <c r="Z33" s="305" t="s">
        <v>522</v>
      </c>
      <c r="AA33" s="319">
        <v>2</v>
      </c>
      <c r="AB33" s="321" t="s">
        <v>70</v>
      </c>
      <c r="AC33" s="424">
        <v>0</v>
      </c>
      <c r="AD33" s="424">
        <v>0</v>
      </c>
      <c r="AE33" s="424">
        <v>0</v>
      </c>
      <c r="AF33" s="424">
        <v>0</v>
      </c>
      <c r="AG33" s="424">
        <v>0</v>
      </c>
      <c r="AH33" s="42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2"/>
      <c r="AA39" s="422"/>
      <c r="AB39" s="4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70</v>
      </c>
      <c r="AC41" s="424">
        <v>0</v>
      </c>
      <c r="AD41" s="424">
        <v>0</v>
      </c>
      <c r="AE41" s="424">
        <v>0</v>
      </c>
      <c r="AF41" s="424">
        <v>0</v>
      </c>
      <c r="AG41" s="424">
        <v>0</v>
      </c>
      <c r="AH41" s="42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0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3</v>
      </c>
      <c r="J43" s="423">
        <v>0</v>
      </c>
      <c r="K43" s="42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2"/>
      <c r="AA47" s="422"/>
      <c r="AB47" s="4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3</v>
      </c>
      <c r="Z48" s="400" t="s">
        <v>522</v>
      </c>
      <c r="AA48" s="341">
        <v>2</v>
      </c>
      <c r="AB48" s="343" t="s">
        <v>70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3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3</v>
      </c>
      <c r="J54" s="423">
        <v>0</v>
      </c>
      <c r="K54" s="42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2"/>
      <c r="AA54" s="422"/>
      <c r="AB54" s="4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0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2</v>
      </c>
      <c r="H64" s="291" t="s">
        <v>24</v>
      </c>
      <c r="I64" s="290">
        <v>0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423">
        <v>0</v>
      </c>
      <c r="K65" s="42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3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2</v>
      </c>
      <c r="J76" s="423">
        <v>0</v>
      </c>
      <c r="K76" s="42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4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0</v>
      </c>
      <c r="J87" s="423">
        <v>0</v>
      </c>
      <c r="K87" s="42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2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3</v>
      </c>
      <c r="J98" s="423">
        <v>0</v>
      </c>
      <c r="K98" s="42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Q6:X6"/>
    <mergeCell ref="D7:I7"/>
    <mergeCell ref="Q7:X7"/>
    <mergeCell ref="AB7:AF7"/>
    <mergeCell ref="D4:I4"/>
    <mergeCell ref="Q4:X4"/>
    <mergeCell ref="D5:I5"/>
    <mergeCell ref="Q5:R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B14:F15"/>
    <mergeCell ref="P14:V15"/>
    <mergeCell ref="W14:AB14"/>
    <mergeCell ref="AC14:AF14"/>
    <mergeCell ref="AG14:AH14"/>
    <mergeCell ref="W15:AB15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99" priority="7" stopIfTrue="1" operator="equal">
      <formula>""</formula>
    </cfRule>
  </conditionalFormatting>
  <conditionalFormatting sqref="R16:R23 T16:T23">
    <cfRule type="expression" dxfId="198" priority="6" stopIfTrue="1">
      <formula>IF(AND($Q16=$U16,$Q16&lt;&gt;"",$U16&lt;&gt;"",OR($R16="",$T16="")),1,0)=1</formula>
    </cfRule>
  </conditionalFormatting>
  <conditionalFormatting sqref="R30:R33 T30:T33">
    <cfRule type="expression" dxfId="197" priority="5" stopIfTrue="1">
      <formula>IF(AND($Q30=$U30,$Q30&lt;&gt;"",$U30&lt;&gt;"",OR($R30="",$T30="")),1,0)=1</formula>
    </cfRule>
  </conditionalFormatting>
  <conditionalFormatting sqref="R40:R41 T40:T41">
    <cfRule type="expression" dxfId="196" priority="4" stopIfTrue="1">
      <formula>IF(AND($Q40=$U40,$Q40&lt;&gt;"",$U40&lt;&gt;"",OR($R40="",$T40="")),1,0)=1</formula>
    </cfRule>
  </conditionalFormatting>
  <conditionalFormatting sqref="R48 T48">
    <cfRule type="expression" dxfId="195" priority="3" stopIfTrue="1">
      <formula>IF(AND($Q48=$U48,$Q48&lt;&gt;"",$U48&lt;&gt;"",OR($R48="",$T48="")),1,0)=1</formula>
    </cfRule>
  </conditionalFormatting>
  <conditionalFormatting sqref="R55 T55">
    <cfRule type="expression" dxfId="194" priority="2" stopIfTrue="1">
      <formula>IF(AND($Q55=$U55,$Q55&lt;&gt;"",$U55&lt;&gt;"",OR($R55="",$T55="")),1,0)=1</formula>
    </cfRule>
  </conditionalFormatting>
  <conditionalFormatting sqref="Q4:Q9 R5">
    <cfRule type="expression" dxfId="193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>
      <selection activeCell="P14" sqref="P14:V15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617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25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616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615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 t="s">
        <v>614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56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28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0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1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3</v>
      </c>
      <c r="J21" s="423">
        <v>0</v>
      </c>
      <c r="K21" s="423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2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1</v>
      </c>
      <c r="Z23" s="305" t="s">
        <v>522</v>
      </c>
      <c r="AA23" s="319">
        <v>3</v>
      </c>
      <c r="AB23" s="321" t="s">
        <v>70</v>
      </c>
      <c r="AC23" s="424">
        <v>0</v>
      </c>
      <c r="AD23" s="424">
        <v>0</v>
      </c>
      <c r="AE23" s="424">
        <v>0</v>
      </c>
      <c r="AF23" s="424">
        <v>0</v>
      </c>
      <c r="AG23" s="424">
        <v>0</v>
      </c>
      <c r="AH23" s="42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3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56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3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423">
        <v>0</v>
      </c>
      <c r="K32" s="423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54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70</v>
      </c>
      <c r="AC33" s="424">
        <v>0</v>
      </c>
      <c r="AD33" s="424">
        <v>0</v>
      </c>
      <c r="AE33" s="424">
        <v>0</v>
      </c>
      <c r="AF33" s="424">
        <v>0</v>
      </c>
      <c r="AG33" s="424">
        <v>0</v>
      </c>
      <c r="AH33" s="42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2"/>
      <c r="AA39" s="422"/>
      <c r="AB39" s="4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64</v>
      </c>
      <c r="AC41" s="424">
        <v>0</v>
      </c>
      <c r="AD41" s="424">
        <v>0</v>
      </c>
      <c r="AE41" s="424">
        <v>0</v>
      </c>
      <c r="AF41" s="424">
        <v>0</v>
      </c>
      <c r="AG41" s="424">
        <v>0</v>
      </c>
      <c r="AH41" s="42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1</v>
      </c>
      <c r="J43" s="423">
        <v>0</v>
      </c>
      <c r="K43" s="42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2"/>
      <c r="AA47" s="422"/>
      <c r="AB47" s="4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25</v>
      </c>
      <c r="Y48" s="341">
        <v>3</v>
      </c>
      <c r="Z48" s="400" t="s">
        <v>522</v>
      </c>
      <c r="AA48" s="341">
        <v>2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3</v>
      </c>
      <c r="J54" s="423">
        <v>0</v>
      </c>
      <c r="K54" s="42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2"/>
      <c r="AA54" s="422"/>
      <c r="AB54" s="4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69</v>
      </c>
      <c r="Y55" s="341">
        <v>2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613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423">
        <v>0</v>
      </c>
      <c r="K65" s="42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3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3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1</v>
      </c>
      <c r="J76" s="423">
        <v>0</v>
      </c>
      <c r="K76" s="42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1</v>
      </c>
      <c r="J87" s="423">
        <v>0</v>
      </c>
      <c r="K87" s="42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2</v>
      </c>
      <c r="H98" s="308" t="s">
        <v>24</v>
      </c>
      <c r="I98" s="307">
        <v>3</v>
      </c>
      <c r="J98" s="423">
        <v>0</v>
      </c>
      <c r="K98" s="42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92" priority="7" stopIfTrue="1" operator="equal">
      <formula>""</formula>
    </cfRule>
  </conditionalFormatting>
  <conditionalFormatting sqref="R16:R23 T16:T23">
    <cfRule type="expression" dxfId="191" priority="6" stopIfTrue="1">
      <formula>IF(AND($Q16=$U16,$Q16&lt;&gt;"",$U16&lt;&gt;"",OR($R16="",$T16="")),1,0)=1</formula>
    </cfRule>
  </conditionalFormatting>
  <conditionalFormatting sqref="R30:R33 T30:T33">
    <cfRule type="expression" dxfId="190" priority="5" stopIfTrue="1">
      <formula>IF(AND($Q30=$U30,$Q30&lt;&gt;"",$U30&lt;&gt;"",OR($R30="",$T30="")),1,0)=1</formula>
    </cfRule>
  </conditionalFormatting>
  <conditionalFormatting sqref="R40:R41 T40:T41">
    <cfRule type="expression" dxfId="189" priority="4" stopIfTrue="1">
      <formula>IF(AND($Q40=$U40,$Q40&lt;&gt;"",$U40&lt;&gt;"",OR($R40="",$T40="")),1,0)=1</formula>
    </cfRule>
  </conditionalFormatting>
  <conditionalFormatting sqref="R48 T48">
    <cfRule type="expression" dxfId="188" priority="3" stopIfTrue="1">
      <formula>IF(AND($Q48=$U48,$Q48&lt;&gt;"",$U48&lt;&gt;"",OR($R48="",$T48="")),1,0)=1</formula>
    </cfRule>
  </conditionalFormatting>
  <conditionalFormatting sqref="R55 T55">
    <cfRule type="expression" dxfId="187" priority="2" stopIfTrue="1">
      <formula>IF(AND($Q55=$U55,$Q55&lt;&gt;"",$U55&lt;&gt;"",OR($R55="",$T55="")),1,0)=1</formula>
    </cfRule>
  </conditionalFormatting>
  <conditionalFormatting sqref="Q4:Q9 R5">
    <cfRule type="expression" dxfId="186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620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29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619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7136280351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0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0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2</v>
      </c>
      <c r="AB17" s="300" t="s">
        <v>56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26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0</v>
      </c>
      <c r="AB19" s="300" t="s">
        <v>50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1</v>
      </c>
      <c r="Z20" s="302" t="s">
        <v>522</v>
      </c>
      <c r="AA20" s="299">
        <v>0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4</v>
      </c>
      <c r="AH20" s="301">
        <v>3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2</v>
      </c>
      <c r="J21" s="423">
        <v>0</v>
      </c>
      <c r="K21" s="423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70</v>
      </c>
      <c r="Y21" s="299">
        <v>2</v>
      </c>
      <c r="Z21" s="302" t="s">
        <v>522</v>
      </c>
      <c r="AA21" s="299">
        <v>1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0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69</v>
      </c>
      <c r="AC23" s="424">
        <v>0</v>
      </c>
      <c r="AD23" s="424">
        <v>0</v>
      </c>
      <c r="AE23" s="424">
        <v>0</v>
      </c>
      <c r="AF23" s="424">
        <v>0</v>
      </c>
      <c r="AG23" s="424">
        <v>0</v>
      </c>
      <c r="AH23" s="42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1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56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0</v>
      </c>
      <c r="AB31" s="300" t="s">
        <v>70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423">
        <v>0</v>
      </c>
      <c r="K32" s="423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0</v>
      </c>
      <c r="AB32" s="300" t="s">
        <v>57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69</v>
      </c>
      <c r="AC33" s="424">
        <v>0</v>
      </c>
      <c r="AD33" s="424">
        <v>0</v>
      </c>
      <c r="AE33" s="424">
        <v>0</v>
      </c>
      <c r="AF33" s="424">
        <v>0</v>
      </c>
      <c r="AG33" s="424">
        <v>0</v>
      </c>
      <c r="AH33" s="42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0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2"/>
      <c r="AA39" s="422"/>
      <c r="AB39" s="4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2</v>
      </c>
      <c r="AB40" s="284" t="s">
        <v>61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64</v>
      </c>
      <c r="AC41" s="424">
        <v>0</v>
      </c>
      <c r="AD41" s="424">
        <v>0</v>
      </c>
      <c r="AE41" s="424">
        <v>0</v>
      </c>
      <c r="AF41" s="424">
        <v>0</v>
      </c>
      <c r="AG41" s="424">
        <v>0</v>
      </c>
      <c r="AH41" s="42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0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1</v>
      </c>
      <c r="J43" s="423">
        <v>0</v>
      </c>
      <c r="K43" s="42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2"/>
      <c r="AA47" s="422"/>
      <c r="AB47" s="4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25</v>
      </c>
      <c r="Y48" s="341">
        <v>1</v>
      </c>
      <c r="Z48" s="400" t="s">
        <v>522</v>
      </c>
      <c r="AA48" s="341">
        <v>2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0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2</v>
      </c>
      <c r="J54" s="423">
        <v>0</v>
      </c>
      <c r="K54" s="42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2"/>
      <c r="AA54" s="422"/>
      <c r="AB54" s="4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61</v>
      </c>
      <c r="Y55" s="341">
        <v>2</v>
      </c>
      <c r="Z55" s="400" t="s">
        <v>522</v>
      </c>
      <c r="AA55" s="341">
        <v>3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618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0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1</v>
      </c>
      <c r="J65" s="423">
        <v>0</v>
      </c>
      <c r="K65" s="42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1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0</v>
      </c>
      <c r="H76" s="308" t="s">
        <v>24</v>
      </c>
      <c r="I76" s="307">
        <v>0</v>
      </c>
      <c r="J76" s="423">
        <v>0</v>
      </c>
      <c r="K76" s="42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0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1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1</v>
      </c>
      <c r="J87" s="423">
        <v>0</v>
      </c>
      <c r="K87" s="42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1</v>
      </c>
      <c r="J98" s="423">
        <v>0</v>
      </c>
      <c r="K98" s="42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85" priority="7" stopIfTrue="1" operator="equal">
      <formula>""</formula>
    </cfRule>
  </conditionalFormatting>
  <conditionalFormatting sqref="R16:R23 T16:T23">
    <cfRule type="expression" dxfId="184" priority="6" stopIfTrue="1">
      <formula>IF(AND($Q16=$U16,$Q16&lt;&gt;"",$U16&lt;&gt;"",OR($R16="",$T16="")),1,0)=1</formula>
    </cfRule>
  </conditionalFormatting>
  <conditionalFormatting sqref="R30:R33 T30:T33">
    <cfRule type="expression" dxfId="183" priority="5" stopIfTrue="1">
      <formula>IF(AND($Q30=$U30,$Q30&lt;&gt;"",$U30&lt;&gt;"",OR($R30="",$T30="")),1,0)=1</formula>
    </cfRule>
  </conditionalFormatting>
  <conditionalFormatting sqref="R40:R41 T40:T41">
    <cfRule type="expression" dxfId="182" priority="4" stopIfTrue="1">
      <formula>IF(AND($Q40=$U40,$Q40&lt;&gt;"",$U40&lt;&gt;"",OR($R40="",$T40="")),1,0)=1</formula>
    </cfRule>
  </conditionalFormatting>
  <conditionalFormatting sqref="R48 T48">
    <cfRule type="expression" dxfId="181" priority="3" stopIfTrue="1">
      <formula>IF(AND($Q48=$U48,$Q48&lt;&gt;"",$U48&lt;&gt;"",OR($R48="",$T48="")),1,0)=1</formula>
    </cfRule>
  </conditionalFormatting>
  <conditionalFormatting sqref="R55 T55">
    <cfRule type="expression" dxfId="180" priority="2" stopIfTrue="1">
      <formula>IF(AND($Q55=$U55,$Q55&lt;&gt;"",$U55&lt;&gt;"",OR($R55="",$T55="")),1,0)=1</formula>
    </cfRule>
  </conditionalFormatting>
  <conditionalFormatting sqref="Q4:Q9 R5">
    <cfRule type="expression" dxfId="179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>
      <selection activeCell="AB9" sqref="AB9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3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5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623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26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10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622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 t="s">
        <v>621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18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3</v>
      </c>
      <c r="K16" s="273">
        <v>5</v>
      </c>
      <c r="L16" s="163"/>
      <c r="M16" s="392" t="s">
        <v>108</v>
      </c>
      <c r="N16" s="391"/>
      <c r="O16" s="266">
        <v>49</v>
      </c>
      <c r="P16" s="441" t="s">
        <v>25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44</v>
      </c>
      <c r="AC16" s="285">
        <v>10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0</v>
      </c>
      <c r="AB17" s="300" t="s">
        <v>54</v>
      </c>
      <c r="AC17" s="301">
        <v>0</v>
      </c>
      <c r="AD17" s="301">
        <v>0</v>
      </c>
      <c r="AE17" s="301">
        <v>0</v>
      </c>
      <c r="AF17" s="301">
        <v>0</v>
      </c>
      <c r="AG17" s="301">
        <v>2</v>
      </c>
      <c r="AH17" s="301">
        <v>3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0</v>
      </c>
      <c r="AB18" s="300" t="s">
        <v>26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57</v>
      </c>
      <c r="Y19" s="299">
        <v>1</v>
      </c>
      <c r="Z19" s="302" t="s">
        <v>522</v>
      </c>
      <c r="AA19" s="299">
        <v>0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65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2</v>
      </c>
      <c r="J21" s="423">
        <v>0</v>
      </c>
      <c r="K21" s="423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3</v>
      </c>
      <c r="K22" s="273">
        <f>SUM(K16:K21)</f>
        <v>5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1</v>
      </c>
      <c r="AB22" s="300" t="s">
        <v>59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8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2</v>
      </c>
      <c r="Z23" s="305" t="s">
        <v>522</v>
      </c>
      <c r="AA23" s="319">
        <v>1</v>
      </c>
      <c r="AB23" s="321" t="s">
        <v>70</v>
      </c>
      <c r="AC23" s="424">
        <v>0</v>
      </c>
      <c r="AD23" s="424">
        <v>0</v>
      </c>
      <c r="AE23" s="424">
        <v>0</v>
      </c>
      <c r="AF23" s="424">
        <v>0</v>
      </c>
      <c r="AG23" s="424">
        <v>0</v>
      </c>
      <c r="AH23" s="42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10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10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54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0</v>
      </c>
      <c r="Z31" s="302" t="s">
        <v>522</v>
      </c>
      <c r="AA31" s="299">
        <v>1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423">
        <v>0</v>
      </c>
      <c r="K32" s="423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2</v>
      </c>
      <c r="AB32" s="300" t="s">
        <v>57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74</v>
      </c>
      <c r="AC33" s="424">
        <v>0</v>
      </c>
      <c r="AD33" s="424">
        <v>0</v>
      </c>
      <c r="AE33" s="424">
        <v>0</v>
      </c>
      <c r="AF33" s="424">
        <v>0</v>
      </c>
      <c r="AG33" s="424">
        <v>0</v>
      </c>
      <c r="AH33" s="42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2"/>
      <c r="AA39" s="422"/>
      <c r="AB39" s="4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1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3</v>
      </c>
      <c r="AH40" s="285">
        <v>2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0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57</v>
      </c>
      <c r="Y41" s="319">
        <v>1</v>
      </c>
      <c r="Z41" s="305" t="s">
        <v>522</v>
      </c>
      <c r="AA41" s="319">
        <v>2</v>
      </c>
      <c r="AB41" s="321" t="s">
        <v>64</v>
      </c>
      <c r="AC41" s="424">
        <v>0</v>
      </c>
      <c r="AD41" s="424">
        <v>0</v>
      </c>
      <c r="AE41" s="424">
        <v>0</v>
      </c>
      <c r="AF41" s="424">
        <v>0</v>
      </c>
      <c r="AG41" s="424">
        <v>0</v>
      </c>
      <c r="AH41" s="42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2</v>
      </c>
      <c r="J43" s="423">
        <v>0</v>
      </c>
      <c r="K43" s="42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2"/>
      <c r="AA47" s="422"/>
      <c r="AB47" s="4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3</v>
      </c>
      <c r="AB48" s="343" t="s">
        <v>57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3</v>
      </c>
      <c r="J54" s="423">
        <v>0</v>
      </c>
      <c r="K54" s="42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2"/>
      <c r="AA54" s="422"/>
      <c r="AB54" s="4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1</v>
      </c>
      <c r="Z55" s="400" t="s">
        <v>522</v>
      </c>
      <c r="AA55" s="341">
        <v>2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572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1</v>
      </c>
      <c r="J65" s="423">
        <v>0</v>
      </c>
      <c r="K65" s="42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0</v>
      </c>
      <c r="J76" s="423">
        <v>0</v>
      </c>
      <c r="K76" s="42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0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0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2</v>
      </c>
      <c r="J87" s="423">
        <v>0</v>
      </c>
      <c r="K87" s="42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423">
        <v>0</v>
      </c>
      <c r="K98" s="42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78" priority="7" stopIfTrue="1" operator="equal">
      <formula>""</formula>
    </cfRule>
  </conditionalFormatting>
  <conditionalFormatting sqref="R16:R23 T16:T23">
    <cfRule type="expression" dxfId="177" priority="6" stopIfTrue="1">
      <formula>IF(AND($Q16=$U16,$Q16&lt;&gt;"",$U16&lt;&gt;"",OR($R16="",$T16="")),1,0)=1</formula>
    </cfRule>
  </conditionalFormatting>
  <conditionalFormatting sqref="R30:R33 T30:T33">
    <cfRule type="expression" dxfId="176" priority="5" stopIfTrue="1">
      <formula>IF(AND($Q30=$U30,$Q30&lt;&gt;"",$U30&lt;&gt;"",OR($R30="",$T30="")),1,0)=1</formula>
    </cfRule>
  </conditionalFormatting>
  <conditionalFormatting sqref="R40:R41 T40:T41">
    <cfRule type="expression" dxfId="175" priority="4" stopIfTrue="1">
      <formula>IF(AND($Q40=$U40,$Q40&lt;&gt;"",$U40&lt;&gt;"",OR($R40="",$T40="")),1,0)=1</formula>
    </cfRule>
  </conditionalFormatting>
  <conditionalFormatting sqref="R48 T48">
    <cfRule type="expression" dxfId="174" priority="3" stopIfTrue="1">
      <formula>IF(AND($Q48=$U48,$Q48&lt;&gt;"",$U48&lt;&gt;"",OR($R48="",$T48="")),1,0)=1</formula>
    </cfRule>
  </conditionalFormatting>
  <conditionalFormatting sqref="R55 T55">
    <cfRule type="expression" dxfId="173" priority="2" stopIfTrue="1">
      <formula>IF(AND($Q55=$U55,$Q55&lt;&gt;"",$U55&lt;&gt;"",OR($R55="",$T55="")),1,0)=1</formula>
    </cfRule>
  </conditionalFormatting>
  <conditionalFormatting sqref="Q4:Q9 R5">
    <cfRule type="expression" dxfId="172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2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624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0</v>
      </c>
      <c r="AB17" s="300" t="s">
        <v>57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0</v>
      </c>
      <c r="AB18" s="300" t="s">
        <v>26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54</v>
      </c>
      <c r="Y19" s="299">
        <v>1</v>
      </c>
      <c r="Z19" s="302" t="s">
        <v>522</v>
      </c>
      <c r="AA19" s="299">
        <v>1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4</v>
      </c>
      <c r="AH19" s="301">
        <v>3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2</v>
      </c>
      <c r="J21" s="423">
        <v>0</v>
      </c>
      <c r="K21" s="423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2</v>
      </c>
      <c r="Z21" s="302" t="s">
        <v>522</v>
      </c>
      <c r="AA21" s="299">
        <v>0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0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0</v>
      </c>
      <c r="Z23" s="305" t="s">
        <v>522</v>
      </c>
      <c r="AA23" s="319">
        <v>1</v>
      </c>
      <c r="AB23" s="321" t="s">
        <v>70</v>
      </c>
      <c r="AC23" s="424">
        <v>0</v>
      </c>
      <c r="AD23" s="424">
        <v>0</v>
      </c>
      <c r="AE23" s="424">
        <v>0</v>
      </c>
      <c r="AF23" s="424">
        <v>0</v>
      </c>
      <c r="AG23" s="424">
        <v>0</v>
      </c>
      <c r="AH23" s="42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3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4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0</v>
      </c>
      <c r="Z31" s="302" t="s">
        <v>522</v>
      </c>
      <c r="AA31" s="299">
        <v>2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423">
        <v>0</v>
      </c>
      <c r="K32" s="423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54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70</v>
      </c>
      <c r="AC33" s="424">
        <v>0</v>
      </c>
      <c r="AD33" s="424">
        <v>0</v>
      </c>
      <c r="AE33" s="424">
        <v>0</v>
      </c>
      <c r="AF33" s="424">
        <v>0</v>
      </c>
      <c r="AG33" s="424">
        <v>0</v>
      </c>
      <c r="AH33" s="42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3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2"/>
      <c r="AA39" s="422"/>
      <c r="AB39" s="4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1</v>
      </c>
      <c r="Z41" s="305" t="s">
        <v>522</v>
      </c>
      <c r="AA41" s="319">
        <v>0</v>
      </c>
      <c r="AB41" s="321" t="s">
        <v>64</v>
      </c>
      <c r="AC41" s="424">
        <v>0</v>
      </c>
      <c r="AD41" s="424">
        <v>0</v>
      </c>
      <c r="AE41" s="424">
        <v>0</v>
      </c>
      <c r="AF41" s="424">
        <v>0</v>
      </c>
      <c r="AG41" s="424">
        <v>0</v>
      </c>
      <c r="AH41" s="42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3</v>
      </c>
      <c r="J43" s="423">
        <v>0</v>
      </c>
      <c r="K43" s="42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2"/>
      <c r="AA47" s="422"/>
      <c r="AB47" s="4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3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4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0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0</v>
      </c>
      <c r="H53" s="291" t="s">
        <v>24</v>
      </c>
      <c r="I53" s="290">
        <v>0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2</v>
      </c>
      <c r="J54" s="423">
        <v>0</v>
      </c>
      <c r="K54" s="42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2"/>
      <c r="AA54" s="422"/>
      <c r="AB54" s="4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0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3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1</v>
      </c>
      <c r="J65" s="423">
        <v>0</v>
      </c>
      <c r="K65" s="42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3</v>
      </c>
      <c r="H76" s="308" t="s">
        <v>24</v>
      </c>
      <c r="I76" s="307">
        <v>0</v>
      </c>
      <c r="J76" s="423">
        <v>0</v>
      </c>
      <c r="K76" s="42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0</v>
      </c>
      <c r="H85" s="291" t="s">
        <v>24</v>
      </c>
      <c r="I85" s="290">
        <v>0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2</v>
      </c>
      <c r="J87" s="423">
        <v>0</v>
      </c>
      <c r="K87" s="42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3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423">
        <v>0</v>
      </c>
      <c r="K98" s="42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Q6:X6"/>
    <mergeCell ref="D7:I7"/>
    <mergeCell ref="Q7:X7"/>
    <mergeCell ref="AB7:AF7"/>
    <mergeCell ref="D4:I4"/>
    <mergeCell ref="Q4:X4"/>
    <mergeCell ref="D5:I5"/>
    <mergeCell ref="Q5:R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B14:F15"/>
    <mergeCell ref="P14:V15"/>
    <mergeCell ref="W14:AB14"/>
    <mergeCell ref="AC14:AF14"/>
    <mergeCell ref="AG14:AH14"/>
    <mergeCell ref="W15:AB15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71" priority="7" stopIfTrue="1" operator="equal">
      <formula>""</formula>
    </cfRule>
  </conditionalFormatting>
  <conditionalFormatting sqref="R16:R23 T16:T23">
    <cfRule type="expression" dxfId="170" priority="6" stopIfTrue="1">
      <formula>IF(AND($Q16=$U16,$Q16&lt;&gt;"",$U16&lt;&gt;"",OR($R16="",$T16="")),1,0)=1</formula>
    </cfRule>
  </conditionalFormatting>
  <conditionalFormatting sqref="R30:R33 T30:T33">
    <cfRule type="expression" dxfId="169" priority="5" stopIfTrue="1">
      <formula>IF(AND($Q30=$U30,$Q30&lt;&gt;"",$U30&lt;&gt;"",OR($R30="",$T30="")),1,0)=1</formula>
    </cfRule>
  </conditionalFormatting>
  <conditionalFormatting sqref="R40:R41 T40:T41">
    <cfRule type="expression" dxfId="168" priority="4" stopIfTrue="1">
      <formula>IF(AND($Q40=$U40,$Q40&lt;&gt;"",$U40&lt;&gt;"",OR($R40="",$T40="")),1,0)=1</formula>
    </cfRule>
  </conditionalFormatting>
  <conditionalFormatting sqref="R48 T48">
    <cfRule type="expression" dxfId="167" priority="3" stopIfTrue="1">
      <formula>IF(AND($Q48=$U48,$Q48&lt;&gt;"",$U48&lt;&gt;"",OR($R48="",$T48="")),1,0)=1</formula>
    </cfRule>
  </conditionalFormatting>
  <conditionalFormatting sqref="R55 T55">
    <cfRule type="expression" dxfId="166" priority="2" stopIfTrue="1">
      <formula>IF(AND($Q55=$U55,$Q55&lt;&gt;"",$U55&lt;&gt;"",OR($R55="",$T55="")),1,0)=1</formula>
    </cfRule>
  </conditionalFormatting>
  <conditionalFormatting sqref="Q4:Q9 R5">
    <cfRule type="expression" dxfId="165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3"/>
  <dimension ref="A1:BA152"/>
  <sheetViews>
    <sheetView workbookViewId="0">
      <selection activeCell="X48" sqref="X48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625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2</v>
      </c>
      <c r="Z17" s="302" t="s">
        <v>522</v>
      </c>
      <c r="AA17" s="299">
        <v>1</v>
      </c>
      <c r="AB17" s="300" t="s">
        <v>54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0</v>
      </c>
      <c r="AB18" s="300" t="s">
        <v>27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57</v>
      </c>
      <c r="Y19" s="299">
        <v>1</v>
      </c>
      <c r="Z19" s="302" t="s">
        <v>522</v>
      </c>
      <c r="AA19" s="299">
        <v>0</v>
      </c>
      <c r="AB19" s="300" t="s">
        <v>52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1</v>
      </c>
      <c r="Z20" s="302" t="s">
        <v>522</v>
      </c>
      <c r="AA20" s="299">
        <v>0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3</v>
      </c>
      <c r="J21" s="425">
        <v>0</v>
      </c>
      <c r="K21" s="425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2</v>
      </c>
      <c r="Z21" s="302" t="s">
        <v>522</v>
      </c>
      <c r="AA21" s="299">
        <v>0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1</v>
      </c>
      <c r="Z23" s="305" t="s">
        <v>522</v>
      </c>
      <c r="AA23" s="319">
        <v>0</v>
      </c>
      <c r="AB23" s="321" t="s">
        <v>70</v>
      </c>
      <c r="AC23" s="427">
        <v>0</v>
      </c>
      <c r="AD23" s="427">
        <v>0</v>
      </c>
      <c r="AE23" s="427">
        <v>0</v>
      </c>
      <c r="AF23" s="427">
        <v>0</v>
      </c>
      <c r="AG23" s="427">
        <v>0</v>
      </c>
      <c r="AH23" s="427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0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0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425">
        <v>0</v>
      </c>
      <c r="K32" s="425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57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1</v>
      </c>
      <c r="Z33" s="305" t="s">
        <v>522</v>
      </c>
      <c r="AA33" s="319">
        <v>0</v>
      </c>
      <c r="AB33" s="321" t="s">
        <v>74</v>
      </c>
      <c r="AC33" s="427">
        <v>0</v>
      </c>
      <c r="AD33" s="427">
        <v>0</v>
      </c>
      <c r="AE33" s="427">
        <v>0</v>
      </c>
      <c r="AF33" s="427">
        <v>0</v>
      </c>
      <c r="AG33" s="427">
        <v>0</v>
      </c>
      <c r="AH33" s="427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1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6"/>
      <c r="AA39" s="426"/>
      <c r="AB39" s="426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427">
        <v>0</v>
      </c>
      <c r="AD41" s="427">
        <v>0</v>
      </c>
      <c r="AE41" s="427">
        <v>0</v>
      </c>
      <c r="AF41" s="427">
        <v>0</v>
      </c>
      <c r="AG41" s="427">
        <v>0</v>
      </c>
      <c r="AH41" s="427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1</v>
      </c>
      <c r="J43" s="425">
        <v>0</v>
      </c>
      <c r="K43" s="425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6"/>
      <c r="AA47" s="426"/>
      <c r="AB47" s="426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1</v>
      </c>
      <c r="Z48" s="400" t="s">
        <v>522</v>
      </c>
      <c r="AA48" s="341">
        <v>0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2</v>
      </c>
      <c r="J54" s="425">
        <v>0</v>
      </c>
      <c r="K54" s="425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6"/>
      <c r="AA54" s="426"/>
      <c r="AB54" s="426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1</v>
      </c>
      <c r="Z55" s="400" t="s">
        <v>522</v>
      </c>
      <c r="AA55" s="341">
        <v>0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1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0</v>
      </c>
      <c r="H62" s="291" t="s">
        <v>24</v>
      </c>
      <c r="I62" s="290">
        <v>0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1</v>
      </c>
      <c r="J65" s="425">
        <v>0</v>
      </c>
      <c r="K65" s="425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0</v>
      </c>
      <c r="J76" s="425">
        <v>0</v>
      </c>
      <c r="K76" s="425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0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0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0</v>
      </c>
      <c r="J87" s="425">
        <v>0</v>
      </c>
      <c r="K87" s="425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425">
        <v>0</v>
      </c>
      <c r="K98" s="425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Q6:X6"/>
    <mergeCell ref="D7:I7"/>
    <mergeCell ref="Q7:X7"/>
    <mergeCell ref="AB7:AF7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64" priority="7" stopIfTrue="1" operator="equal">
      <formula>""</formula>
    </cfRule>
  </conditionalFormatting>
  <conditionalFormatting sqref="R16:R23 T16:T23">
    <cfRule type="expression" dxfId="163" priority="6" stopIfTrue="1">
      <formula>IF(AND($Q16=$U16,$Q16&lt;&gt;"",$U16&lt;&gt;"",OR($R16="",$T16="")),1,0)=1</formula>
    </cfRule>
  </conditionalFormatting>
  <conditionalFormatting sqref="R30:R33 T30:T33">
    <cfRule type="expression" dxfId="162" priority="5" stopIfTrue="1">
      <formula>IF(AND($Q30=$U30,$Q30&lt;&gt;"",$U30&lt;&gt;"",OR($R30="",$T30="")),1,0)=1</formula>
    </cfRule>
  </conditionalFormatting>
  <conditionalFormatting sqref="R40:R41 T40:T41">
    <cfRule type="expression" dxfId="161" priority="4" stopIfTrue="1">
      <formula>IF(AND($Q40=$U40,$Q40&lt;&gt;"",$U40&lt;&gt;"",OR($R40="",$T40="")),1,0)=1</formula>
    </cfRule>
  </conditionalFormatting>
  <conditionalFormatting sqref="R48 T48">
    <cfRule type="expression" dxfId="160" priority="3" stopIfTrue="1">
      <formula>IF(AND($Q48=$U48,$Q48&lt;&gt;"",$U48&lt;&gt;"",OR($R48="",$T48="")),1,0)=1</formula>
    </cfRule>
  </conditionalFormatting>
  <conditionalFormatting sqref="R55 T55">
    <cfRule type="expression" dxfId="159" priority="2" stopIfTrue="1">
      <formula>IF(AND($Q55=$U55,$Q55&lt;&gt;"",$U55&lt;&gt;"",OR($R55="",$T55="")),1,0)=1</formula>
    </cfRule>
  </conditionalFormatting>
  <conditionalFormatting sqref="Q4:Q9 R5">
    <cfRule type="expression" dxfId="158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4"/>
  <dimension ref="A1:BA152"/>
  <sheetViews>
    <sheetView workbookViewId="0">
      <selection activeCell="W47" sqref="W47:Y47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629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35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628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627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 t="s">
        <v>626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3</v>
      </c>
      <c r="AB17" s="300" t="s">
        <v>57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1</v>
      </c>
      <c r="H18" s="291" t="s">
        <v>24</v>
      </c>
      <c r="I18" s="290">
        <v>2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0</v>
      </c>
      <c r="AB18" s="300" t="s">
        <v>26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54</v>
      </c>
      <c r="Y19" s="299">
        <v>2</v>
      </c>
      <c r="Z19" s="302" t="s">
        <v>522</v>
      </c>
      <c r="AA19" s="299">
        <v>1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0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3</v>
      </c>
      <c r="J21" s="425">
        <v>0</v>
      </c>
      <c r="K21" s="425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70</v>
      </c>
      <c r="Y21" s="299">
        <v>3</v>
      </c>
      <c r="Z21" s="302" t="s">
        <v>522</v>
      </c>
      <c r="AA21" s="299">
        <v>1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2</v>
      </c>
      <c r="AB22" s="300" t="s">
        <v>59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69</v>
      </c>
      <c r="AC23" s="427">
        <v>0</v>
      </c>
      <c r="AD23" s="427">
        <v>0</v>
      </c>
      <c r="AE23" s="427">
        <v>0</v>
      </c>
      <c r="AF23" s="427">
        <v>0</v>
      </c>
      <c r="AG23" s="427">
        <v>0</v>
      </c>
      <c r="AH23" s="427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3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1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70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2</v>
      </c>
      <c r="J32" s="425">
        <v>0</v>
      </c>
      <c r="K32" s="425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54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3</v>
      </c>
      <c r="Z33" s="305" t="s">
        <v>522</v>
      </c>
      <c r="AA33" s="319">
        <v>2</v>
      </c>
      <c r="AB33" s="321" t="s">
        <v>69</v>
      </c>
      <c r="AC33" s="427">
        <v>0</v>
      </c>
      <c r="AD33" s="427">
        <v>0</v>
      </c>
      <c r="AE33" s="427">
        <v>0</v>
      </c>
      <c r="AF33" s="427">
        <v>0</v>
      </c>
      <c r="AG33" s="427">
        <v>0</v>
      </c>
      <c r="AH33" s="427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6"/>
      <c r="AA39" s="426"/>
      <c r="AB39" s="426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2</v>
      </c>
      <c r="AB40" s="284" t="s">
        <v>70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0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64</v>
      </c>
      <c r="AC41" s="427">
        <v>0</v>
      </c>
      <c r="AD41" s="427">
        <v>0</v>
      </c>
      <c r="AE41" s="427">
        <v>0</v>
      </c>
      <c r="AF41" s="427">
        <v>0</v>
      </c>
      <c r="AG41" s="427">
        <v>0</v>
      </c>
      <c r="AH41" s="427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1</v>
      </c>
      <c r="J43" s="425">
        <v>0</v>
      </c>
      <c r="K43" s="425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6"/>
      <c r="AA47" s="426"/>
      <c r="AB47" s="426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25</v>
      </c>
      <c r="Y48" s="341">
        <v>1</v>
      </c>
      <c r="Z48" s="400" t="s">
        <v>522</v>
      </c>
      <c r="AA48" s="341">
        <v>3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0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2</v>
      </c>
      <c r="J54" s="425">
        <v>0</v>
      </c>
      <c r="K54" s="425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6"/>
      <c r="AA54" s="426"/>
      <c r="AB54" s="426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70</v>
      </c>
      <c r="Y55" s="341">
        <v>1</v>
      </c>
      <c r="Z55" s="400" t="s">
        <v>522</v>
      </c>
      <c r="AA55" s="341">
        <v>2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0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618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425">
        <v>0</v>
      </c>
      <c r="K65" s="425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2</v>
      </c>
      <c r="H75" s="291" t="s">
        <v>24</v>
      </c>
      <c r="I75" s="290">
        <v>3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0</v>
      </c>
      <c r="H76" s="308" t="s">
        <v>24</v>
      </c>
      <c r="I76" s="307">
        <v>0</v>
      </c>
      <c r="J76" s="425">
        <v>0</v>
      </c>
      <c r="K76" s="425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1</v>
      </c>
      <c r="J87" s="425">
        <v>0</v>
      </c>
      <c r="K87" s="425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2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425">
        <v>0</v>
      </c>
      <c r="K98" s="425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Q6:X6"/>
    <mergeCell ref="D7:I7"/>
    <mergeCell ref="Q7:X7"/>
    <mergeCell ref="AB7:AF7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57" priority="7" stopIfTrue="1" operator="equal">
      <formula>""</formula>
    </cfRule>
  </conditionalFormatting>
  <conditionalFormatting sqref="R16:R23 T16:T23">
    <cfRule type="expression" dxfId="156" priority="6" stopIfTrue="1">
      <formula>IF(AND($Q16=$U16,$Q16&lt;&gt;"",$U16&lt;&gt;"",OR($R16="",$T16="")),1,0)=1</formula>
    </cfRule>
  </conditionalFormatting>
  <conditionalFormatting sqref="R30:R33 T30:T33">
    <cfRule type="expression" dxfId="155" priority="5" stopIfTrue="1">
      <formula>IF(AND($Q30=$U30,$Q30&lt;&gt;"",$U30&lt;&gt;"",OR($R30="",$T30="")),1,0)=1</formula>
    </cfRule>
  </conditionalFormatting>
  <conditionalFormatting sqref="R40:R41 T40:T41">
    <cfRule type="expression" dxfId="154" priority="4" stopIfTrue="1">
      <formula>IF(AND($Q40=$U40,$Q40&lt;&gt;"",$U40&lt;&gt;"",OR($R40="",$T40="")),1,0)=1</formula>
    </cfRule>
  </conditionalFormatting>
  <conditionalFormatting sqref="R48 T48">
    <cfRule type="expression" dxfId="153" priority="3" stopIfTrue="1">
      <formula>IF(AND($Q48=$U48,$Q48&lt;&gt;"",$U48&lt;&gt;"",OR($R48="",$T48="")),1,0)=1</formula>
    </cfRule>
  </conditionalFormatting>
  <conditionalFormatting sqref="R55 T55">
    <cfRule type="expression" dxfId="152" priority="2" stopIfTrue="1">
      <formula>IF(AND($Q55=$U55,$Q55&lt;&gt;"",$U55&lt;&gt;"",OR($R55="",$T55="")),1,0)=1</formula>
    </cfRule>
  </conditionalFormatting>
  <conditionalFormatting sqref="Q4:Q9 R5">
    <cfRule type="expression" dxfId="151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5"/>
  <dimension ref="A1:BA152"/>
  <sheetViews>
    <sheetView zoomScaleNormal="100" workbookViewId="0">
      <selection activeCell="AF45" sqref="AF45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631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32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72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630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2022885355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54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1</v>
      </c>
      <c r="AB18" s="300" t="s">
        <v>27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57</v>
      </c>
      <c r="Y19" s="299">
        <v>3</v>
      </c>
      <c r="Z19" s="302" t="s">
        <v>522</v>
      </c>
      <c r="AA19" s="299">
        <v>1</v>
      </c>
      <c r="AB19" s="300" t="s">
        <v>52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1</v>
      </c>
      <c r="Z20" s="302" t="s">
        <v>522</v>
      </c>
      <c r="AA20" s="299">
        <v>2</v>
      </c>
      <c r="AB20" s="300" t="s">
        <v>65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3</v>
      </c>
      <c r="J21" s="425">
        <v>0</v>
      </c>
      <c r="K21" s="425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76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1</v>
      </c>
      <c r="AB22" s="300" t="s">
        <v>60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2</v>
      </c>
      <c r="Z23" s="305" t="s">
        <v>522</v>
      </c>
      <c r="AA23" s="319">
        <v>2</v>
      </c>
      <c r="AB23" s="321" t="s">
        <v>70</v>
      </c>
      <c r="AC23" s="427">
        <v>0</v>
      </c>
      <c r="AD23" s="427">
        <v>0</v>
      </c>
      <c r="AE23" s="427">
        <v>0</v>
      </c>
      <c r="AF23" s="427">
        <v>0</v>
      </c>
      <c r="AG23" s="427">
        <v>3</v>
      </c>
      <c r="AH23" s="427">
        <v>4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54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65</v>
      </c>
      <c r="Y31" s="299">
        <v>1</v>
      </c>
      <c r="Z31" s="302" t="s">
        <v>522</v>
      </c>
      <c r="AA31" s="299">
        <v>3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2</v>
      </c>
      <c r="J32" s="425">
        <v>0</v>
      </c>
      <c r="K32" s="425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57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70</v>
      </c>
      <c r="AC33" s="427">
        <v>0</v>
      </c>
      <c r="AD33" s="427">
        <v>0</v>
      </c>
      <c r="AE33" s="427">
        <v>0</v>
      </c>
      <c r="AF33" s="427">
        <v>0</v>
      </c>
      <c r="AG33" s="427">
        <v>0</v>
      </c>
      <c r="AH33" s="427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6"/>
      <c r="AA39" s="426"/>
      <c r="AB39" s="426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2</v>
      </c>
      <c r="Z40" s="269" t="s">
        <v>522</v>
      </c>
      <c r="AA40" s="282">
        <v>1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427">
        <v>0</v>
      </c>
      <c r="AD41" s="427">
        <v>0</v>
      </c>
      <c r="AE41" s="427">
        <v>0</v>
      </c>
      <c r="AF41" s="427">
        <v>0</v>
      </c>
      <c r="AG41" s="427">
        <v>0</v>
      </c>
      <c r="AH41" s="427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2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1</v>
      </c>
      <c r="J43" s="425">
        <v>0</v>
      </c>
      <c r="K43" s="425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6"/>
      <c r="AA47" s="426"/>
      <c r="AB47" s="426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1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0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2</v>
      </c>
      <c r="J54" s="425">
        <v>0</v>
      </c>
      <c r="K54" s="425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6"/>
      <c r="AA54" s="426"/>
      <c r="AB54" s="426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1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4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2</v>
      </c>
      <c r="H65" s="308" t="s">
        <v>24</v>
      </c>
      <c r="I65" s="307">
        <v>2</v>
      </c>
      <c r="J65" s="425">
        <v>0</v>
      </c>
      <c r="K65" s="425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4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425">
        <v>0</v>
      </c>
      <c r="K76" s="425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0</v>
      </c>
      <c r="J87" s="425">
        <v>0</v>
      </c>
      <c r="K87" s="425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1</v>
      </c>
      <c r="H98" s="308" t="s">
        <v>24</v>
      </c>
      <c r="I98" s="307">
        <v>2</v>
      </c>
      <c r="J98" s="425">
        <v>0</v>
      </c>
      <c r="K98" s="425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Q6:X6"/>
    <mergeCell ref="D7:I7"/>
    <mergeCell ref="Q7:X7"/>
    <mergeCell ref="AB7:AF7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50" priority="7" stopIfTrue="1" operator="equal">
      <formula>""</formula>
    </cfRule>
  </conditionalFormatting>
  <conditionalFormatting sqref="R16:R23 T16:T23">
    <cfRule type="expression" dxfId="149" priority="6" stopIfTrue="1">
      <formula>IF(AND($Q16=$U16,$Q16&lt;&gt;"",$U16&lt;&gt;"",OR($R16="",$T16="")),1,0)=1</formula>
    </cfRule>
  </conditionalFormatting>
  <conditionalFormatting sqref="R30:R33 T30:T33">
    <cfRule type="expression" dxfId="148" priority="5" stopIfTrue="1">
      <formula>IF(AND($Q30=$U30,$Q30&lt;&gt;"",$U30&lt;&gt;"",OR($R30="",$T30="")),1,0)=1</formula>
    </cfRule>
  </conditionalFormatting>
  <conditionalFormatting sqref="R40:R41 T40:T41">
    <cfRule type="expression" dxfId="147" priority="4" stopIfTrue="1">
      <formula>IF(AND($Q40=$U40,$Q40&lt;&gt;"",$U40&lt;&gt;"",OR($R40="",$T40="")),1,0)=1</formula>
    </cfRule>
  </conditionalFormatting>
  <conditionalFormatting sqref="R48 T48">
    <cfRule type="expression" dxfId="146" priority="3" stopIfTrue="1">
      <formula>IF(AND($Q48=$U48,$Q48&lt;&gt;"",$U48&lt;&gt;"",OR($R48="",$T48="")),1,0)=1</formula>
    </cfRule>
  </conditionalFormatting>
  <conditionalFormatting sqref="R55 T55">
    <cfRule type="expression" dxfId="145" priority="2" stopIfTrue="1">
      <formula>IF(AND($Q55=$U55,$Q55&lt;&gt;"",$U55&lt;&gt;"",OR($R55="",$T55="")),1,0)=1</formula>
    </cfRule>
  </conditionalFormatting>
  <conditionalFormatting sqref="Q4:Q9 R5">
    <cfRule type="expression" dxfId="144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6"/>
  <dimension ref="A1:BA152"/>
  <sheetViews>
    <sheetView workbookViewId="0">
      <selection activeCell="AL11" sqref="AL11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66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69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506" t="s">
        <v>498</v>
      </c>
      <c r="Q4" s="641" t="s">
        <v>633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506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506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506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506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505">
        <f>AC56</f>
        <v>0</v>
      </c>
      <c r="K9" s="164"/>
      <c r="L9" s="163"/>
      <c r="M9" s="163"/>
      <c r="N9" s="163"/>
      <c r="O9" s="163"/>
      <c r="P9" s="504" t="s">
        <v>509</v>
      </c>
      <c r="Q9" s="663"/>
      <c r="R9" s="664"/>
      <c r="S9" s="664"/>
      <c r="T9" s="664"/>
      <c r="U9" s="664"/>
      <c r="V9" s="664"/>
      <c r="W9" s="664"/>
      <c r="X9" s="665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72" t="s">
        <v>510</v>
      </c>
      <c r="E10" s="672"/>
      <c r="F10" s="672"/>
      <c r="G10" s="672"/>
      <c r="H10" s="672"/>
      <c r="I10" s="672"/>
      <c r="J10" s="503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73"/>
      <c r="C15" s="673"/>
      <c r="D15" s="673"/>
      <c r="E15" s="673"/>
      <c r="F15" s="673"/>
      <c r="G15" s="464" t="s">
        <v>517</v>
      </c>
      <c r="H15" s="464"/>
      <c r="I15" s="464"/>
      <c r="J15" s="463" t="s">
        <v>518</v>
      </c>
      <c r="K15" s="463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74" t="s">
        <v>517</v>
      </c>
      <c r="X15" s="674"/>
      <c r="Y15" s="674"/>
      <c r="Z15" s="674"/>
      <c r="AA15" s="674"/>
      <c r="AB15" s="674"/>
      <c r="AC15" s="265" t="s">
        <v>520</v>
      </c>
      <c r="AD15" s="265" t="s">
        <v>521</v>
      </c>
      <c r="AE15" s="463" t="s">
        <v>518</v>
      </c>
      <c r="AF15" s="463" t="s">
        <v>519</v>
      </c>
      <c r="AG15" s="463" t="s">
        <v>520</v>
      </c>
      <c r="AH15" s="463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462" t="s">
        <v>25</v>
      </c>
      <c r="C16" s="460"/>
      <c r="D16" s="461" t="s">
        <v>522</v>
      </c>
      <c r="E16" s="460"/>
      <c r="F16" s="459" t="s">
        <v>26</v>
      </c>
      <c r="G16" s="457">
        <v>2</v>
      </c>
      <c r="H16" s="458" t="s">
        <v>24</v>
      </c>
      <c r="I16" s="457">
        <v>1</v>
      </c>
      <c r="J16" s="448">
        <v>0</v>
      </c>
      <c r="K16" s="448">
        <v>0</v>
      </c>
      <c r="L16" s="163"/>
      <c r="M16" s="392" t="s">
        <v>108</v>
      </c>
      <c r="N16" s="391"/>
      <c r="O16" s="266">
        <v>49</v>
      </c>
      <c r="P16" s="498" t="s">
        <v>611</v>
      </c>
      <c r="Q16" s="495"/>
      <c r="R16" s="496"/>
      <c r="S16" s="497" t="s">
        <v>522</v>
      </c>
      <c r="T16" s="496"/>
      <c r="U16" s="495"/>
      <c r="V16" s="494" t="s">
        <v>610</v>
      </c>
      <c r="W16" s="493"/>
      <c r="X16" s="492" t="s">
        <v>25</v>
      </c>
      <c r="Y16" s="491">
        <v>3</v>
      </c>
      <c r="Z16" s="461" t="s">
        <v>522</v>
      </c>
      <c r="AA16" s="491">
        <v>1</v>
      </c>
      <c r="AB16" s="490" t="s">
        <v>45</v>
      </c>
      <c r="AC16" s="467">
        <v>0</v>
      </c>
      <c r="AD16" s="467">
        <v>0</v>
      </c>
      <c r="AE16" s="467">
        <v>0</v>
      </c>
      <c r="AF16" s="467">
        <v>0</v>
      </c>
      <c r="AG16" s="467">
        <v>0</v>
      </c>
      <c r="AH16" s="467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49</v>
      </c>
      <c r="Y17" s="299">
        <v>4</v>
      </c>
      <c r="Z17" s="302" t="s">
        <v>522</v>
      </c>
      <c r="AA17" s="299">
        <v>2</v>
      </c>
      <c r="AB17" s="300" t="s">
        <v>56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4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1</v>
      </c>
      <c r="AB18" s="300" t="s">
        <v>26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1</v>
      </c>
      <c r="AB19" s="300" t="s">
        <v>51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4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60</v>
      </c>
      <c r="Y20" s="299">
        <v>2</v>
      </c>
      <c r="Z20" s="302" t="s">
        <v>522</v>
      </c>
      <c r="AA20" s="299">
        <v>0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456" t="s">
        <v>28</v>
      </c>
      <c r="C21" s="454"/>
      <c r="D21" s="455" t="s">
        <v>522</v>
      </c>
      <c r="E21" s="454"/>
      <c r="F21" s="453" t="s">
        <v>25</v>
      </c>
      <c r="G21" s="451">
        <v>1</v>
      </c>
      <c r="H21" s="452" t="s">
        <v>24</v>
      </c>
      <c r="I21" s="451">
        <v>3</v>
      </c>
      <c r="J21" s="450">
        <v>0</v>
      </c>
      <c r="K21" s="450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70</v>
      </c>
      <c r="Y21" s="299">
        <v>4</v>
      </c>
      <c r="Z21" s="302" t="s">
        <v>522</v>
      </c>
      <c r="AA21" s="299">
        <v>0</v>
      </c>
      <c r="AB21" s="300" t="s">
        <v>75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449" t="s">
        <v>523</v>
      </c>
      <c r="H22" s="449"/>
      <c r="I22" s="449"/>
      <c r="J22" s="448">
        <f>SUM(J16:J21)</f>
        <v>0</v>
      </c>
      <c r="K22" s="448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2</v>
      </c>
      <c r="AB22" s="300" t="s">
        <v>61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447" t="s">
        <v>524</v>
      </c>
      <c r="H23" s="447"/>
      <c r="I23" s="447"/>
      <c r="J23" s="446">
        <f>SUM(J22:K22)</f>
        <v>0</v>
      </c>
      <c r="K23" s="446"/>
      <c r="L23" s="163"/>
      <c r="M23" s="163"/>
      <c r="N23" s="163"/>
      <c r="O23" s="266">
        <v>56</v>
      </c>
      <c r="P23" s="489" t="s">
        <v>597</v>
      </c>
      <c r="Q23" s="454"/>
      <c r="R23" s="487"/>
      <c r="S23" s="488" t="s">
        <v>522</v>
      </c>
      <c r="T23" s="487"/>
      <c r="U23" s="454"/>
      <c r="V23" s="486" t="s">
        <v>596</v>
      </c>
      <c r="W23" s="485"/>
      <c r="X23" s="484" t="s">
        <v>74</v>
      </c>
      <c r="Y23" s="483">
        <v>2</v>
      </c>
      <c r="Z23" s="455" t="s">
        <v>522</v>
      </c>
      <c r="AA23" s="483">
        <v>2</v>
      </c>
      <c r="AB23" s="482" t="s">
        <v>72</v>
      </c>
      <c r="AC23" s="481">
        <v>0</v>
      </c>
      <c r="AD23" s="481">
        <v>0</v>
      </c>
      <c r="AE23" s="481">
        <v>0</v>
      </c>
      <c r="AF23" s="481">
        <v>0</v>
      </c>
      <c r="AG23" s="481">
        <v>3</v>
      </c>
      <c r="AH23" s="481">
        <v>5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465" t="s">
        <v>524</v>
      </c>
      <c r="AC25" s="675">
        <f>SUM(AC24:AF24)</f>
        <v>0</v>
      </c>
      <c r="AD25" s="675"/>
      <c r="AE25" s="675"/>
      <c r="AF25" s="675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73"/>
      <c r="C26" s="673"/>
      <c r="D26" s="673"/>
      <c r="E26" s="673"/>
      <c r="F26" s="673"/>
      <c r="G26" s="464" t="s">
        <v>517</v>
      </c>
      <c r="H26" s="464"/>
      <c r="I26" s="464"/>
      <c r="J26" s="463" t="s">
        <v>518</v>
      </c>
      <c r="K26" s="463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502" t="s">
        <v>43</v>
      </c>
      <c r="C27" s="460"/>
      <c r="D27" s="461" t="s">
        <v>522</v>
      </c>
      <c r="E27" s="460"/>
      <c r="F27" s="501" t="s">
        <v>44</v>
      </c>
      <c r="G27" s="457">
        <v>3</v>
      </c>
      <c r="H27" s="458" t="s">
        <v>24</v>
      </c>
      <c r="I27" s="457">
        <v>1</v>
      </c>
      <c r="J27" s="448">
        <v>0</v>
      </c>
      <c r="K27" s="448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74" t="s">
        <v>517</v>
      </c>
      <c r="X29" s="674"/>
      <c r="Y29" s="674"/>
      <c r="Z29" s="674"/>
      <c r="AA29" s="674"/>
      <c r="AB29" s="674"/>
      <c r="AC29" s="265" t="s">
        <v>520</v>
      </c>
      <c r="AD29" s="265" t="s">
        <v>521</v>
      </c>
      <c r="AE29" s="463" t="s">
        <v>518</v>
      </c>
      <c r="AF29" s="463" t="s">
        <v>519</v>
      </c>
      <c r="AG29" s="463" t="s">
        <v>520</v>
      </c>
      <c r="AH29" s="463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98" t="s">
        <v>595</v>
      </c>
      <c r="Q30" s="495"/>
      <c r="R30" s="496"/>
      <c r="S30" s="497" t="s">
        <v>522</v>
      </c>
      <c r="T30" s="496"/>
      <c r="U30" s="495"/>
      <c r="V30" s="494" t="s">
        <v>594</v>
      </c>
      <c r="W30" s="493"/>
      <c r="X30" s="492" t="s">
        <v>25</v>
      </c>
      <c r="Y30" s="491">
        <v>3</v>
      </c>
      <c r="Z30" s="461" t="s">
        <v>522</v>
      </c>
      <c r="AA30" s="491">
        <v>1</v>
      </c>
      <c r="AB30" s="490" t="s">
        <v>49</v>
      </c>
      <c r="AC30" s="467">
        <v>0</v>
      </c>
      <c r="AD30" s="467">
        <v>0</v>
      </c>
      <c r="AE30" s="467">
        <v>0</v>
      </c>
      <c r="AF30" s="467">
        <v>0</v>
      </c>
      <c r="AG30" s="467">
        <v>0</v>
      </c>
      <c r="AH30" s="467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4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60</v>
      </c>
      <c r="Y31" s="299">
        <v>1</v>
      </c>
      <c r="Z31" s="302" t="s">
        <v>522</v>
      </c>
      <c r="AA31" s="299">
        <v>4</v>
      </c>
      <c r="AB31" s="300" t="s">
        <v>70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500" t="s">
        <v>44</v>
      </c>
      <c r="C32" s="454"/>
      <c r="D32" s="455" t="s">
        <v>522</v>
      </c>
      <c r="E32" s="454"/>
      <c r="F32" s="499" t="s">
        <v>45</v>
      </c>
      <c r="G32" s="451">
        <v>2</v>
      </c>
      <c r="H32" s="452" t="s">
        <v>24</v>
      </c>
      <c r="I32" s="451">
        <v>3</v>
      </c>
      <c r="J32" s="450">
        <v>0</v>
      </c>
      <c r="K32" s="450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3</v>
      </c>
      <c r="AB32" s="300" t="s">
        <v>54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449" t="s">
        <v>523</v>
      </c>
      <c r="H33" s="449"/>
      <c r="I33" s="449"/>
      <c r="J33" s="448">
        <f>SUM(J27:J32)</f>
        <v>0</v>
      </c>
      <c r="K33" s="448">
        <f>SUM(K27:K32)</f>
        <v>0</v>
      </c>
      <c r="L33" s="163"/>
      <c r="M33" s="163"/>
      <c r="N33" s="163"/>
      <c r="O33" s="266">
        <v>60</v>
      </c>
      <c r="P33" s="489" t="s">
        <v>589</v>
      </c>
      <c r="Q33" s="454"/>
      <c r="R33" s="487"/>
      <c r="S33" s="488" t="s">
        <v>522</v>
      </c>
      <c r="T33" s="487"/>
      <c r="U33" s="454"/>
      <c r="V33" s="486" t="s">
        <v>588</v>
      </c>
      <c r="W33" s="485"/>
      <c r="X33" s="484" t="s">
        <v>64</v>
      </c>
      <c r="Y33" s="483">
        <v>2</v>
      </c>
      <c r="Z33" s="455" t="s">
        <v>522</v>
      </c>
      <c r="AA33" s="483">
        <v>1</v>
      </c>
      <c r="AB33" s="482" t="s">
        <v>72</v>
      </c>
      <c r="AC33" s="481">
        <v>0</v>
      </c>
      <c r="AD33" s="481">
        <v>0</v>
      </c>
      <c r="AE33" s="481">
        <v>0</v>
      </c>
      <c r="AF33" s="481">
        <v>0</v>
      </c>
      <c r="AG33" s="481">
        <v>0</v>
      </c>
      <c r="AH33" s="481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447" t="s">
        <v>524</v>
      </c>
      <c r="H34" s="447"/>
      <c r="I34" s="447"/>
      <c r="J34" s="446">
        <f>SUM(J33:K33)</f>
        <v>0</v>
      </c>
      <c r="K34" s="446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465" t="s">
        <v>524</v>
      </c>
      <c r="AC35" s="675">
        <f>SUM(AC34:AF34)</f>
        <v>0</v>
      </c>
      <c r="AD35" s="675"/>
      <c r="AE35" s="675"/>
      <c r="AF35" s="675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464" t="s">
        <v>517</v>
      </c>
      <c r="H37" s="464"/>
      <c r="I37" s="464"/>
      <c r="J37" s="463" t="s">
        <v>518</v>
      </c>
      <c r="K37" s="463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462" t="s">
        <v>49</v>
      </c>
      <c r="C38" s="460"/>
      <c r="D38" s="461" t="s">
        <v>522</v>
      </c>
      <c r="E38" s="460"/>
      <c r="F38" s="459" t="s">
        <v>50</v>
      </c>
      <c r="G38" s="457">
        <v>2</v>
      </c>
      <c r="H38" s="458" t="s">
        <v>24</v>
      </c>
      <c r="I38" s="457">
        <v>0</v>
      </c>
      <c r="J38" s="448">
        <v>0</v>
      </c>
      <c r="K38" s="448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74" t="s">
        <v>529</v>
      </c>
      <c r="X39" s="674"/>
      <c r="Y39" s="674"/>
      <c r="Z39" s="478"/>
      <c r="AA39" s="478"/>
      <c r="AB39" s="478" t="s">
        <v>529</v>
      </c>
      <c r="AC39" s="265" t="s">
        <v>520</v>
      </c>
      <c r="AD39" s="265" t="s">
        <v>521</v>
      </c>
      <c r="AE39" s="463" t="s">
        <v>518</v>
      </c>
      <c r="AF39" s="463" t="s">
        <v>519</v>
      </c>
      <c r="AG39" s="463" t="s">
        <v>520</v>
      </c>
      <c r="AH39" s="463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2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98" t="s">
        <v>587</v>
      </c>
      <c r="Q40" s="495"/>
      <c r="R40" s="496"/>
      <c r="S40" s="497" t="s">
        <v>522</v>
      </c>
      <c r="T40" s="496"/>
      <c r="U40" s="495"/>
      <c r="V40" s="494" t="s">
        <v>586</v>
      </c>
      <c r="W40" s="493"/>
      <c r="X40" s="492" t="s">
        <v>25</v>
      </c>
      <c r="Y40" s="491">
        <v>2</v>
      </c>
      <c r="Z40" s="461" t="s">
        <v>522</v>
      </c>
      <c r="AA40" s="491">
        <v>3</v>
      </c>
      <c r="AB40" s="490" t="s">
        <v>70</v>
      </c>
      <c r="AC40" s="467">
        <v>0</v>
      </c>
      <c r="AD40" s="467">
        <v>0</v>
      </c>
      <c r="AE40" s="467">
        <v>0</v>
      </c>
      <c r="AF40" s="467">
        <v>0</v>
      </c>
      <c r="AG40" s="467">
        <v>0</v>
      </c>
      <c r="AH40" s="467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3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89" t="s">
        <v>585</v>
      </c>
      <c r="Q41" s="454"/>
      <c r="R41" s="487"/>
      <c r="S41" s="488" t="s">
        <v>522</v>
      </c>
      <c r="T41" s="487"/>
      <c r="U41" s="454"/>
      <c r="V41" s="486" t="s">
        <v>584</v>
      </c>
      <c r="W41" s="485"/>
      <c r="X41" s="484" t="s">
        <v>54</v>
      </c>
      <c r="Y41" s="483">
        <v>1</v>
      </c>
      <c r="Z41" s="455" t="s">
        <v>522</v>
      </c>
      <c r="AA41" s="483">
        <v>3</v>
      </c>
      <c r="AB41" s="482" t="s">
        <v>64</v>
      </c>
      <c r="AC41" s="481">
        <v>0</v>
      </c>
      <c r="AD41" s="481">
        <v>0</v>
      </c>
      <c r="AE41" s="481">
        <v>0</v>
      </c>
      <c r="AF41" s="481">
        <v>0</v>
      </c>
      <c r="AG41" s="481">
        <v>0</v>
      </c>
      <c r="AH41" s="481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456" t="s">
        <v>50</v>
      </c>
      <c r="C43" s="454"/>
      <c r="D43" s="455" t="s">
        <v>522</v>
      </c>
      <c r="E43" s="454"/>
      <c r="F43" s="453" t="s">
        <v>51</v>
      </c>
      <c r="G43" s="451">
        <v>0</v>
      </c>
      <c r="H43" s="452" t="s">
        <v>24</v>
      </c>
      <c r="I43" s="451">
        <v>2</v>
      </c>
      <c r="J43" s="450">
        <v>0</v>
      </c>
      <c r="K43" s="45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465" t="s">
        <v>524</v>
      </c>
      <c r="AC43" s="675">
        <f>SUM(AC42:AF42)</f>
        <v>0</v>
      </c>
      <c r="AD43" s="675"/>
      <c r="AE43" s="675"/>
      <c r="AF43" s="675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449" t="s">
        <v>523</v>
      </c>
      <c r="H44" s="449"/>
      <c r="I44" s="449"/>
      <c r="J44" s="448">
        <f>SUM(J38:J43)</f>
        <v>0</v>
      </c>
      <c r="K44" s="448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447" t="s">
        <v>524</v>
      </c>
      <c r="H45" s="447"/>
      <c r="I45" s="447"/>
      <c r="J45" s="446">
        <f>SUM(J44:K44)</f>
        <v>0</v>
      </c>
      <c r="K45" s="446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74" t="s">
        <v>529</v>
      </c>
      <c r="X47" s="674"/>
      <c r="Y47" s="674"/>
      <c r="Z47" s="478"/>
      <c r="AA47" s="478"/>
      <c r="AB47" s="478" t="s">
        <v>529</v>
      </c>
      <c r="AC47" s="265"/>
      <c r="AD47" s="265"/>
      <c r="AE47" s="463" t="s">
        <v>518</v>
      </c>
      <c r="AF47" s="463" t="s">
        <v>519</v>
      </c>
      <c r="AG47" s="463" t="s">
        <v>520</v>
      </c>
      <c r="AH47" s="463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464" t="s">
        <v>517</v>
      </c>
      <c r="H48" s="464"/>
      <c r="I48" s="464"/>
      <c r="J48" s="463" t="s">
        <v>518</v>
      </c>
      <c r="K48" s="463" t="s">
        <v>519</v>
      </c>
      <c r="L48" s="163"/>
      <c r="M48" s="263" t="s">
        <v>476</v>
      </c>
      <c r="N48" s="264"/>
      <c r="O48" s="266">
        <v>63</v>
      </c>
      <c r="P48" s="477" t="s">
        <v>583</v>
      </c>
      <c r="Q48" s="474"/>
      <c r="R48" s="475"/>
      <c r="S48" s="476" t="s">
        <v>522</v>
      </c>
      <c r="T48" s="475"/>
      <c r="U48" s="474"/>
      <c r="V48" s="473" t="s">
        <v>582</v>
      </c>
      <c r="W48" s="472"/>
      <c r="X48" s="471" t="s">
        <v>25</v>
      </c>
      <c r="Y48" s="469">
        <v>4</v>
      </c>
      <c r="Z48" s="470" t="s">
        <v>522</v>
      </c>
      <c r="AA48" s="469">
        <v>2</v>
      </c>
      <c r="AB48" s="468" t="s">
        <v>54</v>
      </c>
      <c r="AC48" s="480"/>
      <c r="AD48" s="480"/>
      <c r="AE48" s="480">
        <v>0</v>
      </c>
      <c r="AF48" s="480">
        <v>0</v>
      </c>
      <c r="AG48" s="480">
        <v>0</v>
      </c>
      <c r="AH48" s="480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462" t="s">
        <v>54</v>
      </c>
      <c r="C49" s="460"/>
      <c r="D49" s="461" t="s">
        <v>522</v>
      </c>
      <c r="E49" s="460"/>
      <c r="F49" s="459" t="s">
        <v>55</v>
      </c>
      <c r="G49" s="457">
        <v>3</v>
      </c>
      <c r="H49" s="458" t="s">
        <v>24</v>
      </c>
      <c r="I49" s="457">
        <v>0</v>
      </c>
      <c r="J49" s="448">
        <v>0</v>
      </c>
      <c r="K49" s="448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479" t="s">
        <v>524</v>
      </c>
      <c r="AC49" s="675">
        <f>SUM(AC48:AF48)</f>
        <v>0</v>
      </c>
      <c r="AD49" s="675"/>
      <c r="AE49" s="675"/>
      <c r="AF49" s="675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3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76"/>
      <c r="AD50" s="676"/>
      <c r="AE50" s="676"/>
      <c r="AF50" s="676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4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456" t="s">
        <v>55</v>
      </c>
      <c r="C54" s="454"/>
      <c r="D54" s="455" t="s">
        <v>522</v>
      </c>
      <c r="E54" s="454"/>
      <c r="F54" s="453" t="s">
        <v>56</v>
      </c>
      <c r="G54" s="451">
        <v>1</v>
      </c>
      <c r="H54" s="452" t="s">
        <v>24</v>
      </c>
      <c r="I54" s="451">
        <v>3</v>
      </c>
      <c r="J54" s="450">
        <v>0</v>
      </c>
      <c r="K54" s="45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74" t="s">
        <v>529</v>
      </c>
      <c r="X54" s="674"/>
      <c r="Y54" s="674"/>
      <c r="Z54" s="478"/>
      <c r="AA54" s="478"/>
      <c r="AB54" s="478" t="s">
        <v>529</v>
      </c>
      <c r="AC54" s="265" t="s">
        <v>520</v>
      </c>
      <c r="AD54" s="265" t="s">
        <v>521</v>
      </c>
      <c r="AE54" s="463" t="s">
        <v>518</v>
      </c>
      <c r="AF54" s="463" t="s">
        <v>519</v>
      </c>
      <c r="AG54" s="463" t="s">
        <v>520</v>
      </c>
      <c r="AH54" s="463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449" t="s">
        <v>523</v>
      </c>
      <c r="H55" s="449"/>
      <c r="I55" s="449"/>
      <c r="J55" s="448">
        <f>SUM(J49:J54)</f>
        <v>0</v>
      </c>
      <c r="K55" s="448">
        <f>SUM(K49:K54)</f>
        <v>0</v>
      </c>
      <c r="L55" s="163"/>
      <c r="M55" s="163"/>
      <c r="N55" s="163"/>
      <c r="O55" s="266">
        <v>64</v>
      </c>
      <c r="P55" s="477" t="s">
        <v>581</v>
      </c>
      <c r="Q55" s="474"/>
      <c r="R55" s="475"/>
      <c r="S55" s="476" t="s">
        <v>522</v>
      </c>
      <c r="T55" s="475"/>
      <c r="U55" s="474"/>
      <c r="V55" s="473" t="s">
        <v>580</v>
      </c>
      <c r="W55" s="472"/>
      <c r="X55" s="471" t="s">
        <v>70</v>
      </c>
      <c r="Y55" s="469">
        <v>3</v>
      </c>
      <c r="Z55" s="470" t="s">
        <v>522</v>
      </c>
      <c r="AA55" s="469">
        <v>3</v>
      </c>
      <c r="AB55" s="468" t="s">
        <v>64</v>
      </c>
      <c r="AC55" s="467">
        <v>0</v>
      </c>
      <c r="AD55" s="467">
        <v>0</v>
      </c>
      <c r="AE55" s="467">
        <v>0</v>
      </c>
      <c r="AF55" s="467">
        <v>0</v>
      </c>
      <c r="AG55" s="467">
        <v>5</v>
      </c>
      <c r="AH55" s="467">
        <v>4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447" t="s">
        <v>524</v>
      </c>
      <c r="H56" s="447"/>
      <c r="I56" s="447"/>
      <c r="J56" s="446">
        <f>SUM(J55:K55)</f>
        <v>0</v>
      </c>
      <c r="K56" s="446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466" t="s">
        <v>553</v>
      </c>
      <c r="AC56" s="677">
        <v>0</v>
      </c>
      <c r="AD56" s="677"/>
      <c r="AE56" s="677"/>
      <c r="AF56" s="677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465" t="s">
        <v>524</v>
      </c>
      <c r="AC57" s="675">
        <f>SUM(AC55:AF55)+AC56</f>
        <v>0</v>
      </c>
      <c r="AD57" s="675"/>
      <c r="AE57" s="675"/>
      <c r="AF57" s="675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464" t="s">
        <v>517</v>
      </c>
      <c r="H59" s="464"/>
      <c r="I59" s="464"/>
      <c r="J59" s="463" t="s">
        <v>518</v>
      </c>
      <c r="K59" s="463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462" t="s">
        <v>59</v>
      </c>
      <c r="C60" s="460"/>
      <c r="D60" s="461" t="s">
        <v>522</v>
      </c>
      <c r="E60" s="460"/>
      <c r="F60" s="459" t="s">
        <v>60</v>
      </c>
      <c r="G60" s="457">
        <v>2</v>
      </c>
      <c r="H60" s="458" t="s">
        <v>24</v>
      </c>
      <c r="I60" s="457">
        <v>2</v>
      </c>
      <c r="J60" s="448">
        <v>0</v>
      </c>
      <c r="K60" s="448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632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0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3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456" t="s">
        <v>60</v>
      </c>
      <c r="C65" s="454"/>
      <c r="D65" s="455" t="s">
        <v>522</v>
      </c>
      <c r="E65" s="454"/>
      <c r="F65" s="453" t="s">
        <v>61</v>
      </c>
      <c r="G65" s="451">
        <v>2</v>
      </c>
      <c r="H65" s="452" t="s">
        <v>24</v>
      </c>
      <c r="I65" s="451">
        <v>1</v>
      </c>
      <c r="J65" s="450">
        <v>0</v>
      </c>
      <c r="K65" s="45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449" t="s">
        <v>523</v>
      </c>
      <c r="H66" s="449"/>
      <c r="I66" s="449"/>
      <c r="J66" s="448">
        <f>SUM(J60:J65)</f>
        <v>0</v>
      </c>
      <c r="K66" s="448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447" t="s">
        <v>524</v>
      </c>
      <c r="H67" s="447"/>
      <c r="I67" s="447"/>
      <c r="J67" s="446">
        <f>SUM(J66:K66)</f>
        <v>0</v>
      </c>
      <c r="K67" s="446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464" t="s">
        <v>517</v>
      </c>
      <c r="H70" s="464"/>
      <c r="I70" s="464"/>
      <c r="J70" s="463" t="s">
        <v>518</v>
      </c>
      <c r="K70" s="463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462" t="s">
        <v>64</v>
      </c>
      <c r="C71" s="460"/>
      <c r="D71" s="461" t="s">
        <v>522</v>
      </c>
      <c r="E71" s="460"/>
      <c r="F71" s="459" t="s">
        <v>65</v>
      </c>
      <c r="G71" s="457">
        <v>3</v>
      </c>
      <c r="H71" s="458" t="s">
        <v>24</v>
      </c>
      <c r="I71" s="457">
        <v>1</v>
      </c>
      <c r="J71" s="448">
        <v>0</v>
      </c>
      <c r="K71" s="448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3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5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2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456" t="s">
        <v>65</v>
      </c>
      <c r="C76" s="454"/>
      <c r="D76" s="455" t="s">
        <v>522</v>
      </c>
      <c r="E76" s="454"/>
      <c r="F76" s="453" t="s">
        <v>66</v>
      </c>
      <c r="G76" s="451">
        <v>1</v>
      </c>
      <c r="H76" s="452" t="s">
        <v>24</v>
      </c>
      <c r="I76" s="451">
        <v>0</v>
      </c>
      <c r="J76" s="450">
        <v>0</v>
      </c>
      <c r="K76" s="45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449" t="s">
        <v>523</v>
      </c>
      <c r="H77" s="449"/>
      <c r="I77" s="449"/>
      <c r="J77" s="448">
        <f>SUM(J71:J76)</f>
        <v>0</v>
      </c>
      <c r="K77" s="448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447" t="s">
        <v>524</v>
      </c>
      <c r="H78" s="447"/>
      <c r="I78" s="447"/>
      <c r="J78" s="446">
        <f>SUM(J77:K77)</f>
        <v>0</v>
      </c>
      <c r="K78" s="446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464" t="s">
        <v>517</v>
      </c>
      <c r="H81" s="464"/>
      <c r="I81" s="464"/>
      <c r="J81" s="463" t="s">
        <v>518</v>
      </c>
      <c r="K81" s="463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462" t="s">
        <v>69</v>
      </c>
      <c r="C82" s="460"/>
      <c r="D82" s="461" t="s">
        <v>522</v>
      </c>
      <c r="E82" s="460"/>
      <c r="F82" s="459" t="s">
        <v>70</v>
      </c>
      <c r="G82" s="457">
        <v>2</v>
      </c>
      <c r="H82" s="458" t="s">
        <v>24</v>
      </c>
      <c r="I82" s="457">
        <v>3</v>
      </c>
      <c r="J82" s="448">
        <v>0</v>
      </c>
      <c r="K82" s="448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4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2</v>
      </c>
      <c r="H86" s="291" t="s">
        <v>24</v>
      </c>
      <c r="I86" s="290">
        <v>1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456" t="s">
        <v>70</v>
      </c>
      <c r="C87" s="454"/>
      <c r="D87" s="455" t="s">
        <v>522</v>
      </c>
      <c r="E87" s="454"/>
      <c r="F87" s="453" t="s">
        <v>71</v>
      </c>
      <c r="G87" s="451">
        <v>3</v>
      </c>
      <c r="H87" s="452" t="s">
        <v>24</v>
      </c>
      <c r="I87" s="451">
        <v>0</v>
      </c>
      <c r="J87" s="450">
        <v>0</v>
      </c>
      <c r="K87" s="45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449" t="s">
        <v>523</v>
      </c>
      <c r="H88" s="449"/>
      <c r="I88" s="449"/>
      <c r="J88" s="448">
        <f>SUM(J82:J87)</f>
        <v>0</v>
      </c>
      <c r="K88" s="448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447" t="s">
        <v>524</v>
      </c>
      <c r="H89" s="447"/>
      <c r="I89" s="447"/>
      <c r="J89" s="446">
        <f>SUM(J88:K88)</f>
        <v>0</v>
      </c>
      <c r="K89" s="446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464" t="s">
        <v>517</v>
      </c>
      <c r="H92" s="464"/>
      <c r="I92" s="464"/>
      <c r="J92" s="463" t="s">
        <v>518</v>
      </c>
      <c r="K92" s="463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462" t="s">
        <v>74</v>
      </c>
      <c r="C93" s="460"/>
      <c r="D93" s="461" t="s">
        <v>522</v>
      </c>
      <c r="E93" s="460"/>
      <c r="F93" s="459" t="s">
        <v>75</v>
      </c>
      <c r="G93" s="457">
        <v>4</v>
      </c>
      <c r="H93" s="458" t="s">
        <v>24</v>
      </c>
      <c r="I93" s="457">
        <v>1</v>
      </c>
      <c r="J93" s="448">
        <v>0</v>
      </c>
      <c r="K93" s="448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3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2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456" t="s">
        <v>75</v>
      </c>
      <c r="C98" s="454"/>
      <c r="D98" s="455" t="s">
        <v>522</v>
      </c>
      <c r="E98" s="454"/>
      <c r="F98" s="453" t="s">
        <v>76</v>
      </c>
      <c r="G98" s="451">
        <v>3</v>
      </c>
      <c r="H98" s="452" t="s">
        <v>24</v>
      </c>
      <c r="I98" s="451">
        <v>2</v>
      </c>
      <c r="J98" s="450">
        <v>0</v>
      </c>
      <c r="K98" s="450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449" t="s">
        <v>523</v>
      </c>
      <c r="H99" s="449"/>
      <c r="I99" s="449"/>
      <c r="J99" s="448">
        <f>SUM(J93:J98)</f>
        <v>0</v>
      </c>
      <c r="K99" s="448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447" t="s">
        <v>524</v>
      </c>
      <c r="H100" s="447"/>
      <c r="I100" s="447"/>
      <c r="J100" s="446">
        <f>SUM(J99:K99)</f>
        <v>0</v>
      </c>
      <c r="K100" s="446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Q6:X6"/>
    <mergeCell ref="D7:I7"/>
    <mergeCell ref="Q7:X7"/>
    <mergeCell ref="AB7:AF7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43" priority="7" stopIfTrue="1" operator="equal">
      <formula>""</formula>
    </cfRule>
  </conditionalFormatting>
  <conditionalFormatting sqref="R16:R23 T16:T23">
    <cfRule type="expression" dxfId="142" priority="6" stopIfTrue="1">
      <formula>IF(AND($Q16=$U16,$Q16&lt;&gt;"",$U16&lt;&gt;"",OR($R16="",$T16="")),1,0)=1</formula>
    </cfRule>
  </conditionalFormatting>
  <conditionalFormatting sqref="R30:R33 T30:T33">
    <cfRule type="expression" dxfId="141" priority="5" stopIfTrue="1">
      <formula>IF(AND($Q30=$U30,$Q30&lt;&gt;"",$U30&lt;&gt;"",OR($R30="",$T30="")),1,0)=1</formula>
    </cfRule>
  </conditionalFormatting>
  <conditionalFormatting sqref="R40:R41 T40:T41">
    <cfRule type="expression" dxfId="140" priority="4" stopIfTrue="1">
      <formula>IF(AND($Q40=$U40,$Q40&lt;&gt;"",$U40&lt;&gt;"",OR($R40="",$T40="")),1,0)=1</formula>
    </cfRule>
  </conditionalFormatting>
  <conditionalFormatting sqref="R48 T48">
    <cfRule type="expression" dxfId="139" priority="3" stopIfTrue="1">
      <formula>IF(AND($Q48=$U48,$Q48&lt;&gt;"",$U48&lt;&gt;"",OR($R48="",$T48="")),1,0)=1</formula>
    </cfRule>
  </conditionalFormatting>
  <conditionalFormatting sqref="R55 T55">
    <cfRule type="expression" dxfId="138" priority="2" stopIfTrue="1">
      <formula>IF(AND($Q55=$U55,$Q55&lt;&gt;"",$U55&lt;&gt;"",OR($R55="",$T55="")),1,0)=1</formula>
    </cfRule>
  </conditionalFormatting>
  <conditionalFormatting sqref="Q4:Q9 R5">
    <cfRule type="expression" dxfId="137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7"/>
  <dimension ref="A1:BA152"/>
  <sheetViews>
    <sheetView workbookViewId="0">
      <selection activeCell="W29" sqref="W29:AB29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53" t="s">
        <v>496</v>
      </c>
      <c r="E3" s="653"/>
      <c r="F3" s="653"/>
      <c r="G3" s="653"/>
      <c r="H3" s="653"/>
      <c r="I3" s="653"/>
      <c r="J3" s="414">
        <f>K22+K33+K44+K55+K66+K77+K88+K99</f>
        <v>0</v>
      </c>
      <c r="K3" s="164"/>
      <c r="L3" s="163"/>
      <c r="M3" s="163"/>
      <c r="N3" s="163"/>
      <c r="O3" s="163"/>
      <c r="P3" s="638"/>
      <c r="Q3" s="639"/>
      <c r="R3" s="639"/>
      <c r="S3" s="639"/>
      <c r="T3" s="639"/>
      <c r="U3" s="639"/>
      <c r="V3" s="639"/>
      <c r="W3" s="639"/>
      <c r="X3" s="640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53" t="s">
        <v>497</v>
      </c>
      <c r="E4" s="653"/>
      <c r="F4" s="653"/>
      <c r="G4" s="653"/>
      <c r="H4" s="653"/>
      <c r="I4" s="653"/>
      <c r="J4" s="414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634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53" t="s">
        <v>499</v>
      </c>
      <c r="E5" s="653"/>
      <c r="F5" s="653"/>
      <c r="G5" s="653"/>
      <c r="H5" s="653"/>
      <c r="I5" s="653"/>
      <c r="J5" s="414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53" t="s">
        <v>502</v>
      </c>
      <c r="E6" s="653"/>
      <c r="F6" s="653"/>
      <c r="G6" s="653"/>
      <c r="H6" s="653"/>
      <c r="I6" s="653"/>
      <c r="J6" s="414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53" t="s">
        <v>504</v>
      </c>
      <c r="E7" s="653"/>
      <c r="F7" s="653"/>
      <c r="G7" s="653"/>
      <c r="H7" s="653"/>
      <c r="I7" s="653"/>
      <c r="J7" s="414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53" t="s">
        <v>554</v>
      </c>
      <c r="E8" s="653"/>
      <c r="F8" s="653"/>
      <c r="G8" s="653"/>
      <c r="H8" s="653"/>
      <c r="I8" s="653"/>
      <c r="J8" s="414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53" t="s">
        <v>508</v>
      </c>
      <c r="E9" s="653"/>
      <c r="F9" s="653"/>
      <c r="G9" s="653"/>
      <c r="H9" s="653"/>
      <c r="I9" s="653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8327907942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260" t="s">
        <v>487</v>
      </c>
      <c r="H14" s="260"/>
      <c r="I14" s="260"/>
      <c r="J14" s="260" t="s">
        <v>514</v>
      </c>
      <c r="K14" s="260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15" t="s">
        <v>516</v>
      </c>
      <c r="X14" s="615"/>
      <c r="Y14" s="615"/>
      <c r="Z14" s="615"/>
      <c r="AA14" s="615"/>
      <c r="AB14" s="615"/>
      <c r="AC14" s="615" t="s">
        <v>514</v>
      </c>
      <c r="AD14" s="615"/>
      <c r="AE14" s="615"/>
      <c r="AF14" s="615"/>
      <c r="AG14" s="615" t="s">
        <v>555</v>
      </c>
      <c r="AH14" s="615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16"/>
      <c r="C15" s="616"/>
      <c r="D15" s="616"/>
      <c r="E15" s="616"/>
      <c r="F15" s="616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4</v>
      </c>
      <c r="Z16" s="269" t="s">
        <v>522</v>
      </c>
      <c r="AA16" s="282">
        <v>3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0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445" t="s">
        <v>609</v>
      </c>
      <c r="Q17" s="389"/>
      <c r="R17" s="443"/>
      <c r="S17" s="444" t="s">
        <v>522</v>
      </c>
      <c r="T17" s="443"/>
      <c r="U17" s="389"/>
      <c r="V17" s="442" t="s">
        <v>608</v>
      </c>
      <c r="W17" s="397"/>
      <c r="X17" s="298" t="s">
        <v>51</v>
      </c>
      <c r="Y17" s="299">
        <v>0</v>
      </c>
      <c r="Z17" s="302" t="s">
        <v>522</v>
      </c>
      <c r="AA17" s="299">
        <v>1</v>
      </c>
      <c r="AB17" s="300" t="s">
        <v>54</v>
      </c>
      <c r="AC17" s="301">
        <v>0</v>
      </c>
      <c r="AD17" s="301">
        <v>0</v>
      </c>
      <c r="AE17" s="301">
        <v>0</v>
      </c>
      <c r="AF17" s="301">
        <v>0</v>
      </c>
      <c r="AG17" s="301">
        <v>0</v>
      </c>
      <c r="AH17" s="301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445" t="s">
        <v>607</v>
      </c>
      <c r="Q18" s="389"/>
      <c r="R18" s="443"/>
      <c r="S18" s="444" t="s">
        <v>522</v>
      </c>
      <c r="T18" s="443"/>
      <c r="U18" s="389"/>
      <c r="V18" s="442" t="s">
        <v>606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28</v>
      </c>
      <c r="AC18" s="301">
        <v>0</v>
      </c>
      <c r="AD18" s="301">
        <v>0</v>
      </c>
      <c r="AE18" s="301">
        <v>0</v>
      </c>
      <c r="AF18" s="301">
        <v>0</v>
      </c>
      <c r="AG18" s="301">
        <v>0</v>
      </c>
      <c r="AH18" s="301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0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445" t="s">
        <v>605</v>
      </c>
      <c r="Q19" s="389"/>
      <c r="R19" s="443"/>
      <c r="S19" s="444" t="s">
        <v>522</v>
      </c>
      <c r="T19" s="443"/>
      <c r="U19" s="389"/>
      <c r="V19" s="442" t="s">
        <v>604</v>
      </c>
      <c r="W19" s="397"/>
      <c r="X19" s="298" t="s">
        <v>56</v>
      </c>
      <c r="Y19" s="299">
        <v>1</v>
      </c>
      <c r="Z19" s="302" t="s">
        <v>522</v>
      </c>
      <c r="AA19" s="299">
        <v>0</v>
      </c>
      <c r="AB19" s="300" t="s">
        <v>49</v>
      </c>
      <c r="AC19" s="301">
        <v>0</v>
      </c>
      <c r="AD19" s="301">
        <v>0</v>
      </c>
      <c r="AE19" s="301">
        <v>0</v>
      </c>
      <c r="AF19" s="301">
        <v>0</v>
      </c>
      <c r="AG19" s="301">
        <v>0</v>
      </c>
      <c r="AH19" s="301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445" t="s">
        <v>603</v>
      </c>
      <c r="Q20" s="389"/>
      <c r="R20" s="443"/>
      <c r="S20" s="444" t="s">
        <v>522</v>
      </c>
      <c r="T20" s="443"/>
      <c r="U20" s="389"/>
      <c r="V20" s="442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2</v>
      </c>
      <c r="AB20" s="300" t="s">
        <v>67</v>
      </c>
      <c r="AC20" s="301">
        <v>0</v>
      </c>
      <c r="AD20" s="301">
        <v>0</v>
      </c>
      <c r="AE20" s="301">
        <v>0</v>
      </c>
      <c r="AF20" s="301">
        <v>0</v>
      </c>
      <c r="AG20" s="301">
        <v>0</v>
      </c>
      <c r="AH20" s="301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2</v>
      </c>
      <c r="J21" s="425">
        <v>0</v>
      </c>
      <c r="K21" s="425">
        <v>0</v>
      </c>
      <c r="L21" s="163"/>
      <c r="M21" s="163"/>
      <c r="N21" s="163"/>
      <c r="O21" s="266">
        <v>54</v>
      </c>
      <c r="P21" s="445" t="s">
        <v>601</v>
      </c>
      <c r="Q21" s="389"/>
      <c r="R21" s="443"/>
      <c r="S21" s="444" t="s">
        <v>522</v>
      </c>
      <c r="T21" s="443"/>
      <c r="U21" s="389"/>
      <c r="V21" s="442" t="s">
        <v>600</v>
      </c>
      <c r="W21" s="397"/>
      <c r="X21" s="298" t="s">
        <v>69</v>
      </c>
      <c r="Y21" s="299">
        <v>1</v>
      </c>
      <c r="Z21" s="302" t="s">
        <v>522</v>
      </c>
      <c r="AA21" s="299">
        <v>0</v>
      </c>
      <c r="AB21" s="300" t="s">
        <v>75</v>
      </c>
      <c r="AC21" s="301">
        <v>0</v>
      </c>
      <c r="AD21" s="301">
        <v>0</v>
      </c>
      <c r="AE21" s="301">
        <v>0</v>
      </c>
      <c r="AF21" s="301">
        <v>0</v>
      </c>
      <c r="AG21" s="301">
        <v>0</v>
      </c>
      <c r="AH21" s="301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445" t="s">
        <v>599</v>
      </c>
      <c r="Q22" s="389"/>
      <c r="R22" s="443"/>
      <c r="S22" s="444" t="s">
        <v>522</v>
      </c>
      <c r="T22" s="443"/>
      <c r="U22" s="389"/>
      <c r="V22" s="442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0</v>
      </c>
      <c r="AB22" s="300" t="s">
        <v>59</v>
      </c>
      <c r="AC22" s="301">
        <v>0</v>
      </c>
      <c r="AD22" s="301">
        <v>0</v>
      </c>
      <c r="AE22" s="301">
        <v>0</v>
      </c>
      <c r="AF22" s="301">
        <v>0</v>
      </c>
      <c r="AG22" s="301">
        <v>0</v>
      </c>
      <c r="AH22" s="301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436" t="s">
        <v>597</v>
      </c>
      <c r="Q23" s="386"/>
      <c r="R23" s="434"/>
      <c r="S23" s="435" t="s">
        <v>522</v>
      </c>
      <c r="T23" s="434"/>
      <c r="U23" s="386"/>
      <c r="V23" s="433" t="s">
        <v>596</v>
      </c>
      <c r="W23" s="402"/>
      <c r="X23" s="318" t="s">
        <v>74</v>
      </c>
      <c r="Y23" s="319">
        <v>2</v>
      </c>
      <c r="Z23" s="305" t="s">
        <v>522</v>
      </c>
      <c r="AA23" s="319">
        <v>4</v>
      </c>
      <c r="AB23" s="321" t="s">
        <v>70</v>
      </c>
      <c r="AC23" s="427">
        <v>0</v>
      </c>
      <c r="AD23" s="427">
        <v>0</v>
      </c>
      <c r="AE23" s="427">
        <v>0</v>
      </c>
      <c r="AF23" s="427">
        <v>0</v>
      </c>
      <c r="AG23" s="427">
        <v>0</v>
      </c>
      <c r="AH23" s="427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323" t="s">
        <v>523</v>
      </c>
      <c r="AC24" s="323">
        <f>SUM(AC16:AC23)</f>
        <v>0</v>
      </c>
      <c r="AD24" s="323">
        <f>SUM(AD16:AD23)</f>
        <v>0</v>
      </c>
      <c r="AE24" s="323">
        <f>SUM(AE16:AE23)</f>
        <v>0</v>
      </c>
      <c r="AF24" s="32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260" t="s">
        <v>487</v>
      </c>
      <c r="H25" s="260"/>
      <c r="I25" s="260"/>
      <c r="J25" s="260" t="s">
        <v>514</v>
      </c>
      <c r="K25" s="260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16"/>
      <c r="C26" s="616"/>
      <c r="D26" s="616"/>
      <c r="E26" s="616"/>
      <c r="F26" s="616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1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15" t="s">
        <v>516</v>
      </c>
      <c r="X28" s="615"/>
      <c r="Y28" s="615"/>
      <c r="Z28" s="615"/>
      <c r="AA28" s="615"/>
      <c r="AB28" s="615"/>
      <c r="AC28" s="615" t="s">
        <v>514</v>
      </c>
      <c r="AD28" s="615"/>
      <c r="AE28" s="615"/>
      <c r="AF28" s="615"/>
      <c r="AG28" s="615" t="s">
        <v>555</v>
      </c>
      <c r="AH28" s="615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54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445" t="s">
        <v>593</v>
      </c>
      <c r="Q31" s="389"/>
      <c r="R31" s="443"/>
      <c r="S31" s="444" t="s">
        <v>522</v>
      </c>
      <c r="T31" s="443"/>
      <c r="U31" s="389"/>
      <c r="V31" s="442" t="s">
        <v>592</v>
      </c>
      <c r="W31" s="397"/>
      <c r="X31" s="298" t="s">
        <v>61</v>
      </c>
      <c r="Y31" s="299">
        <v>0</v>
      </c>
      <c r="Z31" s="302" t="s">
        <v>522</v>
      </c>
      <c r="AA31" s="299">
        <v>1</v>
      </c>
      <c r="AB31" s="300" t="s">
        <v>69</v>
      </c>
      <c r="AC31" s="301">
        <v>0</v>
      </c>
      <c r="AD31" s="301">
        <v>0</v>
      </c>
      <c r="AE31" s="301">
        <v>0</v>
      </c>
      <c r="AF31" s="301">
        <v>0</v>
      </c>
      <c r="AG31" s="301">
        <v>0</v>
      </c>
      <c r="AH31" s="301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425">
        <v>0</v>
      </c>
      <c r="K32" s="425">
        <v>0</v>
      </c>
      <c r="L32" s="163"/>
      <c r="M32" s="163"/>
      <c r="N32" s="163"/>
      <c r="O32" s="266">
        <v>59</v>
      </c>
      <c r="P32" s="445" t="s">
        <v>591</v>
      </c>
      <c r="Q32" s="389"/>
      <c r="R32" s="443"/>
      <c r="S32" s="444" t="s">
        <v>522</v>
      </c>
      <c r="T32" s="443"/>
      <c r="U32" s="389"/>
      <c r="V32" s="442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56</v>
      </c>
      <c r="AC32" s="301">
        <v>0</v>
      </c>
      <c r="AD32" s="301">
        <v>0</v>
      </c>
      <c r="AE32" s="301">
        <v>0</v>
      </c>
      <c r="AF32" s="301">
        <v>0</v>
      </c>
      <c r="AG32" s="301">
        <v>0</v>
      </c>
      <c r="AH32" s="301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436" t="s">
        <v>589</v>
      </c>
      <c r="Q33" s="386"/>
      <c r="R33" s="434"/>
      <c r="S33" s="435" t="s">
        <v>522</v>
      </c>
      <c r="T33" s="434"/>
      <c r="U33" s="386"/>
      <c r="V33" s="433" t="s">
        <v>588</v>
      </c>
      <c r="W33" s="402"/>
      <c r="X33" s="318" t="s">
        <v>64</v>
      </c>
      <c r="Y33" s="319">
        <v>3</v>
      </c>
      <c r="Z33" s="305" t="s">
        <v>522</v>
      </c>
      <c r="AA33" s="319">
        <v>2</v>
      </c>
      <c r="AB33" s="321" t="s">
        <v>70</v>
      </c>
      <c r="AC33" s="427">
        <v>0</v>
      </c>
      <c r="AD33" s="427">
        <v>0</v>
      </c>
      <c r="AE33" s="427">
        <v>0</v>
      </c>
      <c r="AF33" s="427">
        <v>0</v>
      </c>
      <c r="AG33" s="427">
        <v>0</v>
      </c>
      <c r="AH33" s="427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323" t="s">
        <v>523</v>
      </c>
      <c r="AC34" s="323">
        <f>SUM(AC30:AC33)</f>
        <v>0</v>
      </c>
      <c r="AD34" s="323">
        <f>SUM(AD30:AD33)</f>
        <v>0</v>
      </c>
      <c r="AE34" s="323">
        <f>SUM(AE30:AE33)</f>
        <v>0</v>
      </c>
      <c r="AF34" s="32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260" t="s">
        <v>487</v>
      </c>
      <c r="H36" s="260"/>
      <c r="I36" s="260"/>
      <c r="J36" s="260" t="s">
        <v>514</v>
      </c>
      <c r="K36" s="260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1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15" t="s">
        <v>487</v>
      </c>
      <c r="X38" s="615"/>
      <c r="Y38" s="615"/>
      <c r="Z38" s="615"/>
      <c r="AA38" s="615"/>
      <c r="AB38" s="615"/>
      <c r="AC38" s="615" t="s">
        <v>514</v>
      </c>
      <c r="AD38" s="615"/>
      <c r="AE38" s="615"/>
      <c r="AF38" s="615"/>
      <c r="AG38" s="615" t="s">
        <v>555</v>
      </c>
      <c r="AH38" s="615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0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426"/>
      <c r="AA39" s="426"/>
      <c r="AB39" s="426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0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436" t="s">
        <v>585</v>
      </c>
      <c r="Q41" s="386"/>
      <c r="R41" s="434"/>
      <c r="S41" s="435" t="s">
        <v>522</v>
      </c>
      <c r="T41" s="434"/>
      <c r="U41" s="386"/>
      <c r="V41" s="433" t="s">
        <v>584</v>
      </c>
      <c r="W41" s="402"/>
      <c r="X41" s="318" t="s">
        <v>43</v>
      </c>
      <c r="Y41" s="319">
        <v>3</v>
      </c>
      <c r="Z41" s="305" t="s">
        <v>522</v>
      </c>
      <c r="AA41" s="319">
        <v>2</v>
      </c>
      <c r="AB41" s="321" t="s">
        <v>64</v>
      </c>
      <c r="AC41" s="427">
        <v>0</v>
      </c>
      <c r="AD41" s="427">
        <v>0</v>
      </c>
      <c r="AE41" s="427">
        <v>0</v>
      </c>
      <c r="AF41" s="427">
        <v>0</v>
      </c>
      <c r="AG41" s="427">
        <v>0</v>
      </c>
      <c r="AH41" s="427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323" t="s">
        <v>523</v>
      </c>
      <c r="AC42" s="323">
        <f>SUM(AC40:AC41)</f>
        <v>0</v>
      </c>
      <c r="AD42" s="323">
        <f>SUM(AD40:AD41)</f>
        <v>0</v>
      </c>
      <c r="AE42" s="323">
        <f>SUM(AE40:AE41)</f>
        <v>0</v>
      </c>
      <c r="AF42" s="32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3</v>
      </c>
      <c r="J43" s="425">
        <v>0</v>
      </c>
      <c r="K43" s="425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15" t="s">
        <v>487</v>
      </c>
      <c r="X46" s="615"/>
      <c r="Y46" s="615"/>
      <c r="Z46" s="615"/>
      <c r="AA46" s="615"/>
      <c r="AB46" s="615"/>
      <c r="AC46" s="615" t="s">
        <v>514</v>
      </c>
      <c r="AD46" s="615"/>
      <c r="AE46" s="615"/>
      <c r="AF46" s="615"/>
      <c r="AG46" s="615" t="s">
        <v>555</v>
      </c>
      <c r="AH46" s="615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260" t="s">
        <v>487</v>
      </c>
      <c r="H47" s="260"/>
      <c r="I47" s="260"/>
      <c r="J47" s="260" t="s">
        <v>514</v>
      </c>
      <c r="K47" s="260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426"/>
      <c r="AA47" s="426"/>
      <c r="AB47" s="426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1</v>
      </c>
      <c r="Z48" s="400" t="s">
        <v>522</v>
      </c>
      <c r="AA48" s="341">
        <v>0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345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15" t="s">
        <v>487</v>
      </c>
      <c r="X53" s="615"/>
      <c r="Y53" s="615"/>
      <c r="Z53" s="615"/>
      <c r="AA53" s="615"/>
      <c r="AB53" s="615"/>
      <c r="AC53" s="615" t="s">
        <v>514</v>
      </c>
      <c r="AD53" s="615"/>
      <c r="AE53" s="615"/>
      <c r="AF53" s="615"/>
      <c r="AG53" s="615" t="s">
        <v>555</v>
      </c>
      <c r="AH53" s="615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1</v>
      </c>
      <c r="J54" s="425">
        <v>0</v>
      </c>
      <c r="K54" s="425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426"/>
      <c r="AA54" s="426"/>
      <c r="AB54" s="426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1</v>
      </c>
      <c r="Z55" s="400" t="s">
        <v>522</v>
      </c>
      <c r="AA55" s="341">
        <v>0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371" t="s">
        <v>553</v>
      </c>
      <c r="AC56" s="613">
        <v>0</v>
      </c>
      <c r="AD56" s="613"/>
      <c r="AE56" s="613"/>
      <c r="AF56" s="61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260" t="s">
        <v>487</v>
      </c>
      <c r="H58" s="260"/>
      <c r="I58" s="260"/>
      <c r="J58" s="260" t="s">
        <v>514</v>
      </c>
      <c r="K58" s="260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425">
        <v>0</v>
      </c>
      <c r="K65" s="425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260" t="s">
        <v>487</v>
      </c>
      <c r="H69" s="260"/>
      <c r="I69" s="260"/>
      <c r="J69" s="260" t="s">
        <v>514</v>
      </c>
      <c r="K69" s="260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0</v>
      </c>
      <c r="J76" s="425">
        <v>0</v>
      </c>
      <c r="K76" s="425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260" t="s">
        <v>487</v>
      </c>
      <c r="H80" s="260"/>
      <c r="I80" s="260"/>
      <c r="J80" s="260" t="s">
        <v>514</v>
      </c>
      <c r="K80" s="260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0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0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0</v>
      </c>
      <c r="J87" s="425">
        <v>0</v>
      </c>
      <c r="K87" s="425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260" t="s">
        <v>487</v>
      </c>
      <c r="H91" s="260"/>
      <c r="I91" s="260"/>
      <c r="J91" s="260" t="s">
        <v>514</v>
      </c>
      <c r="K91" s="260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0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1</v>
      </c>
      <c r="H98" s="308" t="s">
        <v>24</v>
      </c>
      <c r="I98" s="307">
        <v>0</v>
      </c>
      <c r="J98" s="425">
        <v>0</v>
      </c>
      <c r="K98" s="425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D3:I3"/>
    <mergeCell ref="Q9:X9"/>
    <mergeCell ref="AB5:AF5"/>
    <mergeCell ref="D6:I6"/>
    <mergeCell ref="Q6:X6"/>
    <mergeCell ref="D7:I7"/>
    <mergeCell ref="Q7:X7"/>
    <mergeCell ref="AB7:AF7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36" priority="7" stopIfTrue="1" operator="equal">
      <formula>""</formula>
    </cfRule>
  </conditionalFormatting>
  <conditionalFormatting sqref="R16:R23 T16:T23">
    <cfRule type="expression" dxfId="135" priority="6" stopIfTrue="1">
      <formula>IF(AND($Q16=$U16,$Q16&lt;&gt;"",$U16&lt;&gt;"",OR($R16="",$T16="")),1,0)=1</formula>
    </cfRule>
  </conditionalFormatting>
  <conditionalFormatting sqref="R30:R33 T30:T33">
    <cfRule type="expression" dxfId="134" priority="5" stopIfTrue="1">
      <formula>IF(AND($Q30=$U30,$Q30&lt;&gt;"",$U30&lt;&gt;"",OR($R30="",$T30="")),1,0)=1</formula>
    </cfRule>
  </conditionalFormatting>
  <conditionalFormatting sqref="R40:R41 T40:T41">
    <cfRule type="expression" dxfId="133" priority="4" stopIfTrue="1">
      <formula>IF(AND($Q40=$U40,$Q40&lt;&gt;"",$U40&lt;&gt;"",OR($R40="",$T40="")),1,0)=1</formula>
    </cfRule>
  </conditionalFormatting>
  <conditionalFormatting sqref="R48 T48">
    <cfRule type="expression" dxfId="132" priority="3" stopIfTrue="1">
      <formula>IF(AND($Q48=$U48,$Q48&lt;&gt;"",$U48&lt;&gt;"",OR($R48="",$T48="")),1,0)=1</formula>
    </cfRule>
  </conditionalFormatting>
  <conditionalFormatting sqref="R55 T55">
    <cfRule type="expression" dxfId="131" priority="2" stopIfTrue="1">
      <formula>IF(AND($Q55=$U55,$Q55&lt;&gt;"",$U55&lt;&gt;"",OR($R55="",$T55="")),1,0)=1</formula>
    </cfRule>
  </conditionalFormatting>
  <conditionalFormatting sqref="Q4:Q9 R5">
    <cfRule type="expression" dxfId="130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8"/>
  <dimension ref="A1:BA152"/>
  <sheetViews>
    <sheetView workbookViewId="0">
      <selection activeCell="AL40" sqref="AL40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66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69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506" t="s">
        <v>498</v>
      </c>
      <c r="Q4" s="641" t="s">
        <v>635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506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506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506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506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504" t="s">
        <v>509</v>
      </c>
      <c r="Q9" s="663"/>
      <c r="R9" s="664"/>
      <c r="S9" s="664"/>
      <c r="T9" s="664"/>
      <c r="U9" s="664"/>
      <c r="V9" s="664"/>
      <c r="W9" s="664"/>
      <c r="X9" s="665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72" t="s">
        <v>510</v>
      </c>
      <c r="E10" s="672"/>
      <c r="F10" s="672"/>
      <c r="G10" s="672"/>
      <c r="H10" s="672"/>
      <c r="I10" s="672"/>
      <c r="J10" s="503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73"/>
      <c r="C15" s="673"/>
      <c r="D15" s="673"/>
      <c r="E15" s="673"/>
      <c r="F15" s="673"/>
      <c r="G15" s="464" t="s">
        <v>517</v>
      </c>
      <c r="H15" s="464"/>
      <c r="I15" s="464"/>
      <c r="J15" s="463" t="s">
        <v>518</v>
      </c>
      <c r="K15" s="463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74" t="s">
        <v>517</v>
      </c>
      <c r="X15" s="674"/>
      <c r="Y15" s="674"/>
      <c r="Z15" s="674"/>
      <c r="AA15" s="674"/>
      <c r="AB15" s="674"/>
      <c r="AC15" s="265" t="s">
        <v>520</v>
      </c>
      <c r="AD15" s="265" t="s">
        <v>521</v>
      </c>
      <c r="AE15" s="463" t="s">
        <v>518</v>
      </c>
      <c r="AF15" s="463" t="s">
        <v>519</v>
      </c>
      <c r="AG15" s="463" t="s">
        <v>520</v>
      </c>
      <c r="AH15" s="463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462" t="s">
        <v>25</v>
      </c>
      <c r="C16" s="460"/>
      <c r="D16" s="461" t="s">
        <v>522</v>
      </c>
      <c r="E16" s="460"/>
      <c r="F16" s="459" t="s">
        <v>26</v>
      </c>
      <c r="G16" s="457">
        <v>2</v>
      </c>
      <c r="H16" s="458" t="s">
        <v>24</v>
      </c>
      <c r="I16" s="457">
        <v>0</v>
      </c>
      <c r="J16" s="448">
        <v>0</v>
      </c>
      <c r="K16" s="448">
        <v>0</v>
      </c>
      <c r="L16" s="163"/>
      <c r="M16" s="392" t="s">
        <v>108</v>
      </c>
      <c r="N16" s="391"/>
      <c r="O16" s="266">
        <v>49</v>
      </c>
      <c r="P16" s="498" t="s">
        <v>611</v>
      </c>
      <c r="Q16" s="495"/>
      <c r="R16" s="496"/>
      <c r="S16" s="497" t="s">
        <v>522</v>
      </c>
      <c r="T16" s="496"/>
      <c r="U16" s="495"/>
      <c r="V16" s="494" t="s">
        <v>610</v>
      </c>
      <c r="W16" s="493"/>
      <c r="X16" s="492" t="s">
        <v>25</v>
      </c>
      <c r="Y16" s="491">
        <v>3</v>
      </c>
      <c r="Z16" s="461" t="s">
        <v>522</v>
      </c>
      <c r="AA16" s="491">
        <v>1</v>
      </c>
      <c r="AB16" s="490" t="s">
        <v>44</v>
      </c>
      <c r="AC16" s="467">
        <v>0</v>
      </c>
      <c r="AD16" s="467">
        <v>0</v>
      </c>
      <c r="AE16" s="467">
        <v>0</v>
      </c>
      <c r="AF16" s="467">
        <v>0</v>
      </c>
      <c r="AG16" s="467">
        <v>0</v>
      </c>
      <c r="AH16" s="467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0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0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2</v>
      </c>
      <c r="Z19" s="302" t="s">
        <v>522</v>
      </c>
      <c r="AA19" s="299">
        <v>1</v>
      </c>
      <c r="AB19" s="300" t="s">
        <v>50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456" t="s">
        <v>28</v>
      </c>
      <c r="C21" s="454"/>
      <c r="D21" s="455" t="s">
        <v>522</v>
      </c>
      <c r="E21" s="454"/>
      <c r="F21" s="453" t="s">
        <v>25</v>
      </c>
      <c r="G21" s="451">
        <v>0</v>
      </c>
      <c r="H21" s="452" t="s">
        <v>24</v>
      </c>
      <c r="I21" s="451">
        <v>2</v>
      </c>
      <c r="J21" s="508">
        <v>0</v>
      </c>
      <c r="K21" s="508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2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449" t="s">
        <v>523</v>
      </c>
      <c r="H22" s="449"/>
      <c r="I22" s="449"/>
      <c r="J22" s="448">
        <f>SUM(J16:J21)</f>
        <v>0</v>
      </c>
      <c r="K22" s="448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447" t="s">
        <v>524</v>
      </c>
      <c r="H23" s="447"/>
      <c r="I23" s="447"/>
      <c r="J23" s="446">
        <f>SUM(J22:K22)</f>
        <v>0</v>
      </c>
      <c r="K23" s="446"/>
      <c r="L23" s="163"/>
      <c r="M23" s="163"/>
      <c r="N23" s="163"/>
      <c r="O23" s="266">
        <v>56</v>
      </c>
      <c r="P23" s="516" t="s">
        <v>597</v>
      </c>
      <c r="Q23" s="454"/>
      <c r="R23" s="487"/>
      <c r="S23" s="488" t="s">
        <v>522</v>
      </c>
      <c r="T23" s="487"/>
      <c r="U23" s="454"/>
      <c r="V23" s="515" t="s">
        <v>596</v>
      </c>
      <c r="W23" s="485"/>
      <c r="X23" s="484" t="s">
        <v>74</v>
      </c>
      <c r="Y23" s="483">
        <v>0</v>
      </c>
      <c r="Z23" s="455" t="s">
        <v>522</v>
      </c>
      <c r="AA23" s="483">
        <v>1</v>
      </c>
      <c r="AB23" s="482" t="s">
        <v>70</v>
      </c>
      <c r="AC23" s="514">
        <v>0</v>
      </c>
      <c r="AD23" s="514">
        <v>0</v>
      </c>
      <c r="AE23" s="514">
        <v>0</v>
      </c>
      <c r="AF23" s="514">
        <v>0</v>
      </c>
      <c r="AG23" s="514">
        <v>0</v>
      </c>
      <c r="AH23" s="51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465" t="s">
        <v>524</v>
      </c>
      <c r="AC25" s="675">
        <f>SUM(AC24:AF24)</f>
        <v>0</v>
      </c>
      <c r="AD25" s="675"/>
      <c r="AE25" s="675"/>
      <c r="AF25" s="675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73"/>
      <c r="C26" s="673"/>
      <c r="D26" s="673"/>
      <c r="E26" s="673"/>
      <c r="F26" s="673"/>
      <c r="G26" s="464" t="s">
        <v>517</v>
      </c>
      <c r="H26" s="464"/>
      <c r="I26" s="464"/>
      <c r="J26" s="463" t="s">
        <v>518</v>
      </c>
      <c r="K26" s="463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502" t="s">
        <v>43</v>
      </c>
      <c r="C27" s="460"/>
      <c r="D27" s="461" t="s">
        <v>522</v>
      </c>
      <c r="E27" s="460"/>
      <c r="F27" s="501" t="s">
        <v>44</v>
      </c>
      <c r="G27" s="457">
        <v>1</v>
      </c>
      <c r="H27" s="458" t="s">
        <v>24</v>
      </c>
      <c r="I27" s="457">
        <v>0</v>
      </c>
      <c r="J27" s="448">
        <v>0</v>
      </c>
      <c r="K27" s="448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74" t="s">
        <v>517</v>
      </c>
      <c r="X29" s="674"/>
      <c r="Y29" s="674"/>
      <c r="Z29" s="674"/>
      <c r="AA29" s="674"/>
      <c r="AB29" s="674"/>
      <c r="AC29" s="265" t="s">
        <v>520</v>
      </c>
      <c r="AD29" s="265" t="s">
        <v>521</v>
      </c>
      <c r="AE29" s="463" t="s">
        <v>518</v>
      </c>
      <c r="AF29" s="463" t="s">
        <v>519</v>
      </c>
      <c r="AG29" s="463" t="s">
        <v>520</v>
      </c>
      <c r="AH29" s="463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98" t="s">
        <v>595</v>
      </c>
      <c r="Q30" s="495"/>
      <c r="R30" s="496"/>
      <c r="S30" s="497" t="s">
        <v>522</v>
      </c>
      <c r="T30" s="496"/>
      <c r="U30" s="495"/>
      <c r="V30" s="494" t="s">
        <v>594</v>
      </c>
      <c r="W30" s="493"/>
      <c r="X30" s="492" t="s">
        <v>25</v>
      </c>
      <c r="Y30" s="491">
        <v>2</v>
      </c>
      <c r="Z30" s="461" t="s">
        <v>522</v>
      </c>
      <c r="AA30" s="491">
        <v>1</v>
      </c>
      <c r="AB30" s="490" t="s">
        <v>57</v>
      </c>
      <c r="AC30" s="467">
        <v>0</v>
      </c>
      <c r="AD30" s="467">
        <v>0</v>
      </c>
      <c r="AE30" s="467">
        <v>0</v>
      </c>
      <c r="AF30" s="467">
        <v>0</v>
      </c>
      <c r="AG30" s="467">
        <v>0</v>
      </c>
      <c r="AH30" s="467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0</v>
      </c>
      <c r="Z31" s="302" t="s">
        <v>522</v>
      </c>
      <c r="AA31" s="299">
        <v>1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500" t="s">
        <v>44</v>
      </c>
      <c r="C32" s="454"/>
      <c r="D32" s="455" t="s">
        <v>522</v>
      </c>
      <c r="E32" s="454"/>
      <c r="F32" s="499" t="s">
        <v>45</v>
      </c>
      <c r="G32" s="451">
        <v>1</v>
      </c>
      <c r="H32" s="452" t="s">
        <v>24</v>
      </c>
      <c r="I32" s="451">
        <v>0</v>
      </c>
      <c r="J32" s="508">
        <v>0</v>
      </c>
      <c r="K32" s="508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449" t="s">
        <v>523</v>
      </c>
      <c r="H33" s="449"/>
      <c r="I33" s="449"/>
      <c r="J33" s="448">
        <f>SUM(J27:J32)</f>
        <v>0</v>
      </c>
      <c r="K33" s="448">
        <f>SUM(K27:K32)</f>
        <v>0</v>
      </c>
      <c r="L33" s="163"/>
      <c r="M33" s="163"/>
      <c r="N33" s="163"/>
      <c r="O33" s="266">
        <v>60</v>
      </c>
      <c r="P33" s="516" t="s">
        <v>589</v>
      </c>
      <c r="Q33" s="454"/>
      <c r="R33" s="487"/>
      <c r="S33" s="488" t="s">
        <v>522</v>
      </c>
      <c r="T33" s="487"/>
      <c r="U33" s="454"/>
      <c r="V33" s="515" t="s">
        <v>588</v>
      </c>
      <c r="W33" s="485"/>
      <c r="X33" s="484" t="s">
        <v>64</v>
      </c>
      <c r="Y33" s="483">
        <v>1</v>
      </c>
      <c r="Z33" s="455" t="s">
        <v>522</v>
      </c>
      <c r="AA33" s="483">
        <v>0</v>
      </c>
      <c r="AB33" s="482" t="s">
        <v>70</v>
      </c>
      <c r="AC33" s="514">
        <v>0</v>
      </c>
      <c r="AD33" s="514">
        <v>0</v>
      </c>
      <c r="AE33" s="514">
        <v>0</v>
      </c>
      <c r="AF33" s="514">
        <v>0</v>
      </c>
      <c r="AG33" s="514">
        <v>0</v>
      </c>
      <c r="AH33" s="51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447" t="s">
        <v>524</v>
      </c>
      <c r="H34" s="447"/>
      <c r="I34" s="447"/>
      <c r="J34" s="446">
        <f>SUM(J33:K33)</f>
        <v>0</v>
      </c>
      <c r="K34" s="446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465" t="s">
        <v>524</v>
      </c>
      <c r="AC35" s="675">
        <f>SUM(AC34:AF34)</f>
        <v>0</v>
      </c>
      <c r="AD35" s="675"/>
      <c r="AE35" s="675"/>
      <c r="AF35" s="675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464" t="s">
        <v>517</v>
      </c>
      <c r="H37" s="464"/>
      <c r="I37" s="464"/>
      <c r="J37" s="463" t="s">
        <v>518</v>
      </c>
      <c r="K37" s="463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462" t="s">
        <v>49</v>
      </c>
      <c r="C38" s="460"/>
      <c r="D38" s="461" t="s">
        <v>522</v>
      </c>
      <c r="E38" s="460"/>
      <c r="F38" s="459" t="s">
        <v>50</v>
      </c>
      <c r="G38" s="457">
        <v>1</v>
      </c>
      <c r="H38" s="458" t="s">
        <v>24</v>
      </c>
      <c r="I38" s="457">
        <v>0</v>
      </c>
      <c r="J38" s="448">
        <v>0</v>
      </c>
      <c r="K38" s="448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74" t="s">
        <v>529</v>
      </c>
      <c r="X39" s="674"/>
      <c r="Y39" s="674"/>
      <c r="Z39" s="507"/>
      <c r="AA39" s="507"/>
      <c r="AB39" s="507" t="s">
        <v>529</v>
      </c>
      <c r="AC39" s="265" t="s">
        <v>520</v>
      </c>
      <c r="AD39" s="265" t="s">
        <v>521</v>
      </c>
      <c r="AE39" s="463" t="s">
        <v>518</v>
      </c>
      <c r="AF39" s="463" t="s">
        <v>519</v>
      </c>
      <c r="AG39" s="463" t="s">
        <v>520</v>
      </c>
      <c r="AH39" s="463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98" t="s">
        <v>587</v>
      </c>
      <c r="Q40" s="495"/>
      <c r="R40" s="496"/>
      <c r="S40" s="497" t="s">
        <v>522</v>
      </c>
      <c r="T40" s="496"/>
      <c r="U40" s="495"/>
      <c r="V40" s="494" t="s">
        <v>586</v>
      </c>
      <c r="W40" s="493"/>
      <c r="X40" s="492" t="s">
        <v>25</v>
      </c>
      <c r="Y40" s="491">
        <v>2</v>
      </c>
      <c r="Z40" s="461" t="s">
        <v>522</v>
      </c>
      <c r="AA40" s="491">
        <v>1</v>
      </c>
      <c r="AB40" s="490" t="s">
        <v>69</v>
      </c>
      <c r="AC40" s="467">
        <v>0</v>
      </c>
      <c r="AD40" s="467">
        <v>0</v>
      </c>
      <c r="AE40" s="467">
        <v>0</v>
      </c>
      <c r="AF40" s="467">
        <v>0</v>
      </c>
      <c r="AG40" s="467">
        <v>0</v>
      </c>
      <c r="AH40" s="467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0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16" t="s">
        <v>585</v>
      </c>
      <c r="Q41" s="454"/>
      <c r="R41" s="487"/>
      <c r="S41" s="488" t="s">
        <v>522</v>
      </c>
      <c r="T41" s="487"/>
      <c r="U41" s="454"/>
      <c r="V41" s="515" t="s">
        <v>584</v>
      </c>
      <c r="W41" s="485"/>
      <c r="X41" s="484" t="s">
        <v>43</v>
      </c>
      <c r="Y41" s="483">
        <v>1</v>
      </c>
      <c r="Z41" s="455" t="s">
        <v>522</v>
      </c>
      <c r="AA41" s="483">
        <v>0</v>
      </c>
      <c r="AB41" s="482" t="s">
        <v>64</v>
      </c>
      <c r="AC41" s="514">
        <v>0</v>
      </c>
      <c r="AD41" s="514">
        <v>0</v>
      </c>
      <c r="AE41" s="514">
        <v>0</v>
      </c>
      <c r="AF41" s="514">
        <v>0</v>
      </c>
      <c r="AG41" s="514">
        <v>0</v>
      </c>
      <c r="AH41" s="51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0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456" t="s">
        <v>50</v>
      </c>
      <c r="C43" s="454"/>
      <c r="D43" s="455" t="s">
        <v>522</v>
      </c>
      <c r="E43" s="454"/>
      <c r="F43" s="453" t="s">
        <v>51</v>
      </c>
      <c r="G43" s="451">
        <v>1</v>
      </c>
      <c r="H43" s="452" t="s">
        <v>24</v>
      </c>
      <c r="I43" s="451">
        <v>1</v>
      </c>
      <c r="J43" s="508">
        <v>0</v>
      </c>
      <c r="K43" s="508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465" t="s">
        <v>524</v>
      </c>
      <c r="AC43" s="675">
        <f>SUM(AC42:AF42)</f>
        <v>0</v>
      </c>
      <c r="AD43" s="675"/>
      <c r="AE43" s="675"/>
      <c r="AF43" s="675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449" t="s">
        <v>523</v>
      </c>
      <c r="H44" s="449"/>
      <c r="I44" s="449"/>
      <c r="J44" s="448">
        <f>SUM(J38:J43)</f>
        <v>0</v>
      </c>
      <c r="K44" s="448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447" t="s">
        <v>524</v>
      </c>
      <c r="H45" s="447"/>
      <c r="I45" s="447"/>
      <c r="J45" s="446">
        <f>SUM(J44:K44)</f>
        <v>0</v>
      </c>
      <c r="K45" s="446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74" t="s">
        <v>529</v>
      </c>
      <c r="X47" s="674"/>
      <c r="Y47" s="674"/>
      <c r="Z47" s="507"/>
      <c r="AA47" s="507"/>
      <c r="AB47" s="507" t="s">
        <v>529</v>
      </c>
      <c r="AC47" s="265"/>
      <c r="AD47" s="265"/>
      <c r="AE47" s="463" t="s">
        <v>518</v>
      </c>
      <c r="AF47" s="463" t="s">
        <v>519</v>
      </c>
      <c r="AG47" s="463" t="s">
        <v>520</v>
      </c>
      <c r="AH47" s="463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464" t="s">
        <v>517</v>
      </c>
      <c r="H48" s="464"/>
      <c r="I48" s="464"/>
      <c r="J48" s="463" t="s">
        <v>518</v>
      </c>
      <c r="K48" s="463" t="s">
        <v>519</v>
      </c>
      <c r="L48" s="163"/>
      <c r="M48" s="263" t="s">
        <v>476</v>
      </c>
      <c r="N48" s="264"/>
      <c r="O48" s="266">
        <v>63</v>
      </c>
      <c r="P48" s="477" t="s">
        <v>583</v>
      </c>
      <c r="Q48" s="474"/>
      <c r="R48" s="475"/>
      <c r="S48" s="476" t="s">
        <v>522</v>
      </c>
      <c r="T48" s="475"/>
      <c r="U48" s="474"/>
      <c r="V48" s="473" t="s">
        <v>582</v>
      </c>
      <c r="W48" s="472"/>
      <c r="X48" s="471" t="s">
        <v>69</v>
      </c>
      <c r="Y48" s="469">
        <v>0</v>
      </c>
      <c r="Z48" s="470" t="s">
        <v>522</v>
      </c>
      <c r="AA48" s="469">
        <v>1</v>
      </c>
      <c r="AB48" s="468" t="s">
        <v>64</v>
      </c>
      <c r="AC48" s="480"/>
      <c r="AD48" s="480"/>
      <c r="AE48" s="480">
        <v>0</v>
      </c>
      <c r="AF48" s="480">
        <v>0</v>
      </c>
      <c r="AG48" s="480">
        <v>0</v>
      </c>
      <c r="AH48" s="480">
        <v>1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462" t="s">
        <v>54</v>
      </c>
      <c r="C49" s="460"/>
      <c r="D49" s="461" t="s">
        <v>522</v>
      </c>
      <c r="E49" s="460"/>
      <c r="F49" s="459" t="s">
        <v>55</v>
      </c>
      <c r="G49" s="457">
        <v>2</v>
      </c>
      <c r="H49" s="458" t="s">
        <v>24</v>
      </c>
      <c r="I49" s="457">
        <v>0</v>
      </c>
      <c r="J49" s="448">
        <v>0</v>
      </c>
      <c r="K49" s="448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479" t="s">
        <v>524</v>
      </c>
      <c r="AC49" s="675">
        <f>SUM(AC48:AF48)</f>
        <v>0</v>
      </c>
      <c r="AD49" s="675"/>
      <c r="AE49" s="675"/>
      <c r="AF49" s="675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0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76"/>
      <c r="AD50" s="676"/>
      <c r="AE50" s="676"/>
      <c r="AF50" s="676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456" t="s">
        <v>55</v>
      </c>
      <c r="C54" s="454"/>
      <c r="D54" s="455" t="s">
        <v>522</v>
      </c>
      <c r="E54" s="454"/>
      <c r="F54" s="453" t="s">
        <v>56</v>
      </c>
      <c r="G54" s="451">
        <v>0</v>
      </c>
      <c r="H54" s="452" t="s">
        <v>24</v>
      </c>
      <c r="I54" s="451">
        <v>2</v>
      </c>
      <c r="J54" s="508">
        <v>0</v>
      </c>
      <c r="K54" s="508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74" t="s">
        <v>529</v>
      </c>
      <c r="X54" s="674"/>
      <c r="Y54" s="674"/>
      <c r="Z54" s="507"/>
      <c r="AA54" s="507"/>
      <c r="AB54" s="507" t="s">
        <v>529</v>
      </c>
      <c r="AC54" s="265" t="s">
        <v>520</v>
      </c>
      <c r="AD54" s="265" t="s">
        <v>521</v>
      </c>
      <c r="AE54" s="463" t="s">
        <v>518</v>
      </c>
      <c r="AF54" s="463" t="s">
        <v>519</v>
      </c>
      <c r="AG54" s="463" t="s">
        <v>520</v>
      </c>
      <c r="AH54" s="463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449" t="s">
        <v>523</v>
      </c>
      <c r="H55" s="449"/>
      <c r="I55" s="449"/>
      <c r="J55" s="448">
        <f>SUM(J49:J54)</f>
        <v>0</v>
      </c>
      <c r="K55" s="448">
        <f>SUM(K49:K54)</f>
        <v>0</v>
      </c>
      <c r="L55" s="163"/>
      <c r="M55" s="163"/>
      <c r="N55" s="163"/>
      <c r="O55" s="266">
        <v>64</v>
      </c>
      <c r="P55" s="477" t="s">
        <v>581</v>
      </c>
      <c r="Q55" s="474"/>
      <c r="R55" s="475"/>
      <c r="S55" s="476" t="s">
        <v>522</v>
      </c>
      <c r="T55" s="475"/>
      <c r="U55" s="474"/>
      <c r="V55" s="473" t="s">
        <v>580</v>
      </c>
      <c r="W55" s="472"/>
      <c r="X55" s="471" t="s">
        <v>25</v>
      </c>
      <c r="Y55" s="469">
        <v>2</v>
      </c>
      <c r="Z55" s="470" t="s">
        <v>522</v>
      </c>
      <c r="AA55" s="469">
        <v>1</v>
      </c>
      <c r="AB55" s="468" t="s">
        <v>43</v>
      </c>
      <c r="AC55" s="467">
        <v>0</v>
      </c>
      <c r="AD55" s="467">
        <v>0</v>
      </c>
      <c r="AE55" s="467">
        <v>0</v>
      </c>
      <c r="AF55" s="467">
        <v>0</v>
      </c>
      <c r="AG55" s="467">
        <v>0</v>
      </c>
      <c r="AH55" s="467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447" t="s">
        <v>524</v>
      </c>
      <c r="H56" s="447"/>
      <c r="I56" s="447"/>
      <c r="J56" s="446">
        <f>SUM(J55:K55)</f>
        <v>0</v>
      </c>
      <c r="K56" s="446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466" t="s">
        <v>553</v>
      </c>
      <c r="AC56" s="680">
        <v>0</v>
      </c>
      <c r="AD56" s="680"/>
      <c r="AE56" s="680"/>
      <c r="AF56" s="680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465" t="s">
        <v>524</v>
      </c>
      <c r="AC57" s="675">
        <f>SUM(AC55:AF55)+AC56</f>
        <v>0</v>
      </c>
      <c r="AD57" s="675"/>
      <c r="AE57" s="675"/>
      <c r="AF57" s="675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464" t="s">
        <v>517</v>
      </c>
      <c r="H59" s="464"/>
      <c r="I59" s="464"/>
      <c r="J59" s="463" t="s">
        <v>518</v>
      </c>
      <c r="K59" s="463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462" t="s">
        <v>59</v>
      </c>
      <c r="C60" s="460"/>
      <c r="D60" s="461" t="s">
        <v>522</v>
      </c>
      <c r="E60" s="460"/>
      <c r="F60" s="459" t="s">
        <v>60</v>
      </c>
      <c r="G60" s="457">
        <v>1</v>
      </c>
      <c r="H60" s="458" t="s">
        <v>24</v>
      </c>
      <c r="I60" s="457">
        <v>1</v>
      </c>
      <c r="J60" s="448">
        <v>0</v>
      </c>
      <c r="K60" s="448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0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456" t="s">
        <v>60</v>
      </c>
      <c r="C65" s="454"/>
      <c r="D65" s="455" t="s">
        <v>522</v>
      </c>
      <c r="E65" s="454"/>
      <c r="F65" s="453" t="s">
        <v>61</v>
      </c>
      <c r="G65" s="451">
        <v>0</v>
      </c>
      <c r="H65" s="452" t="s">
        <v>24</v>
      </c>
      <c r="I65" s="451">
        <v>1</v>
      </c>
      <c r="J65" s="508">
        <v>0</v>
      </c>
      <c r="K65" s="508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449" t="s">
        <v>523</v>
      </c>
      <c r="H66" s="449"/>
      <c r="I66" s="449"/>
      <c r="J66" s="448">
        <f>SUM(J60:J65)</f>
        <v>0</v>
      </c>
      <c r="K66" s="448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447" t="s">
        <v>524</v>
      </c>
      <c r="H67" s="447"/>
      <c r="I67" s="447"/>
      <c r="J67" s="446">
        <f>SUM(J66:K66)</f>
        <v>0</v>
      </c>
      <c r="K67" s="446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464" t="s">
        <v>517</v>
      </c>
      <c r="H70" s="464"/>
      <c r="I70" s="464"/>
      <c r="J70" s="463" t="s">
        <v>518</v>
      </c>
      <c r="K70" s="463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462" t="s">
        <v>64</v>
      </c>
      <c r="C71" s="460"/>
      <c r="D71" s="461" t="s">
        <v>522</v>
      </c>
      <c r="E71" s="460"/>
      <c r="F71" s="459" t="s">
        <v>65</v>
      </c>
      <c r="G71" s="457">
        <v>2</v>
      </c>
      <c r="H71" s="458" t="s">
        <v>24</v>
      </c>
      <c r="I71" s="457">
        <v>0</v>
      </c>
      <c r="J71" s="448">
        <v>0</v>
      </c>
      <c r="K71" s="448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0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0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456" t="s">
        <v>65</v>
      </c>
      <c r="C76" s="454"/>
      <c r="D76" s="455" t="s">
        <v>522</v>
      </c>
      <c r="E76" s="454"/>
      <c r="F76" s="453" t="s">
        <v>66</v>
      </c>
      <c r="G76" s="451">
        <v>1</v>
      </c>
      <c r="H76" s="452" t="s">
        <v>24</v>
      </c>
      <c r="I76" s="451">
        <v>0</v>
      </c>
      <c r="J76" s="508">
        <v>0</v>
      </c>
      <c r="K76" s="508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449" t="s">
        <v>523</v>
      </c>
      <c r="H77" s="449"/>
      <c r="I77" s="449"/>
      <c r="J77" s="448">
        <f>SUM(J71:J76)</f>
        <v>0</v>
      </c>
      <c r="K77" s="448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447" t="s">
        <v>524</v>
      </c>
      <c r="H78" s="447"/>
      <c r="I78" s="447"/>
      <c r="J78" s="446">
        <f>SUM(J77:K77)</f>
        <v>0</v>
      </c>
      <c r="K78" s="446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464" t="s">
        <v>517</v>
      </c>
      <c r="H81" s="464"/>
      <c r="I81" s="464"/>
      <c r="J81" s="463" t="s">
        <v>518</v>
      </c>
      <c r="K81" s="463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462" t="s">
        <v>69</v>
      </c>
      <c r="C82" s="460"/>
      <c r="D82" s="461" t="s">
        <v>522</v>
      </c>
      <c r="E82" s="460"/>
      <c r="F82" s="459" t="s">
        <v>70</v>
      </c>
      <c r="G82" s="457">
        <v>1</v>
      </c>
      <c r="H82" s="458" t="s">
        <v>24</v>
      </c>
      <c r="I82" s="457">
        <v>0</v>
      </c>
      <c r="J82" s="448">
        <v>0</v>
      </c>
      <c r="K82" s="448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0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456" t="s">
        <v>70</v>
      </c>
      <c r="C87" s="454"/>
      <c r="D87" s="455" t="s">
        <v>522</v>
      </c>
      <c r="E87" s="454"/>
      <c r="F87" s="453" t="s">
        <v>71</v>
      </c>
      <c r="G87" s="451">
        <v>1</v>
      </c>
      <c r="H87" s="452" t="s">
        <v>24</v>
      </c>
      <c r="I87" s="451">
        <v>0</v>
      </c>
      <c r="J87" s="508">
        <v>0</v>
      </c>
      <c r="K87" s="508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449" t="s">
        <v>523</v>
      </c>
      <c r="H88" s="449"/>
      <c r="I88" s="449"/>
      <c r="J88" s="448">
        <f>SUM(J82:J87)</f>
        <v>0</v>
      </c>
      <c r="K88" s="448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447" t="s">
        <v>524</v>
      </c>
      <c r="H89" s="447"/>
      <c r="I89" s="447"/>
      <c r="J89" s="446">
        <f>SUM(J88:K88)</f>
        <v>0</v>
      </c>
      <c r="K89" s="446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464" t="s">
        <v>517</v>
      </c>
      <c r="H92" s="464"/>
      <c r="I92" s="464"/>
      <c r="J92" s="463" t="s">
        <v>518</v>
      </c>
      <c r="K92" s="463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462" t="s">
        <v>74</v>
      </c>
      <c r="C93" s="460"/>
      <c r="D93" s="461" t="s">
        <v>522</v>
      </c>
      <c r="E93" s="460"/>
      <c r="F93" s="459" t="s">
        <v>75</v>
      </c>
      <c r="G93" s="457">
        <v>1</v>
      </c>
      <c r="H93" s="458" t="s">
        <v>24</v>
      </c>
      <c r="I93" s="457">
        <v>0</v>
      </c>
      <c r="J93" s="448">
        <v>0</v>
      </c>
      <c r="K93" s="448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456" t="s">
        <v>75</v>
      </c>
      <c r="C98" s="454"/>
      <c r="D98" s="455" t="s">
        <v>522</v>
      </c>
      <c r="E98" s="454"/>
      <c r="F98" s="453" t="s">
        <v>76</v>
      </c>
      <c r="G98" s="451">
        <v>0</v>
      </c>
      <c r="H98" s="452" t="s">
        <v>24</v>
      </c>
      <c r="I98" s="451">
        <v>1</v>
      </c>
      <c r="J98" s="508">
        <v>0</v>
      </c>
      <c r="K98" s="508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449" t="s">
        <v>523</v>
      </c>
      <c r="H99" s="449"/>
      <c r="I99" s="449"/>
      <c r="J99" s="448">
        <f>SUM(J93:J98)</f>
        <v>0</v>
      </c>
      <c r="K99" s="448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447" t="s">
        <v>524</v>
      </c>
      <c r="H100" s="447"/>
      <c r="I100" s="447"/>
      <c r="J100" s="446">
        <f>SUM(J99:K99)</f>
        <v>0</v>
      </c>
      <c r="K100" s="446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B14:F15"/>
    <mergeCell ref="P14:V15"/>
    <mergeCell ref="W14:AB14"/>
    <mergeCell ref="AC14:AF14"/>
    <mergeCell ref="AG14:AH14"/>
    <mergeCell ref="W15:AB15"/>
    <mergeCell ref="D4:I4"/>
    <mergeCell ref="Q4:X4"/>
    <mergeCell ref="D5:I5"/>
    <mergeCell ref="Q5:R5"/>
    <mergeCell ref="AG12:AH12"/>
    <mergeCell ref="B12:N12"/>
    <mergeCell ref="P12:AD12"/>
    <mergeCell ref="AE12:AF12"/>
    <mergeCell ref="B2:C10"/>
    <mergeCell ref="D2:I2"/>
    <mergeCell ref="P2:X3"/>
    <mergeCell ref="D10:I10"/>
    <mergeCell ref="AB2:AF2"/>
    <mergeCell ref="D8:I8"/>
    <mergeCell ref="Q8:X8"/>
    <mergeCell ref="D9:I9"/>
    <mergeCell ref="Q9:X9"/>
    <mergeCell ref="AB5:AF5"/>
    <mergeCell ref="D6:I6"/>
    <mergeCell ref="Q6:X6"/>
    <mergeCell ref="D7:I7"/>
    <mergeCell ref="Q7:X7"/>
    <mergeCell ref="AB7:AF7"/>
    <mergeCell ref="D3:I3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29" priority="7" stopIfTrue="1" operator="equal">
      <formula>""</formula>
    </cfRule>
  </conditionalFormatting>
  <conditionalFormatting sqref="R16:R23 T16:T23">
    <cfRule type="expression" dxfId="128" priority="6" stopIfTrue="1">
      <formula>IF(AND($Q16=$U16,$Q16&lt;&gt;"",$U16&lt;&gt;"",OR($R16="",$T16="")),1,0)=1</formula>
    </cfRule>
  </conditionalFormatting>
  <conditionalFormatting sqref="R30:R33 T30:T33">
    <cfRule type="expression" dxfId="127" priority="5" stopIfTrue="1">
      <formula>IF(AND($Q30=$U30,$Q30&lt;&gt;"",$U30&lt;&gt;"",OR($R30="",$T30="")),1,0)=1</formula>
    </cfRule>
  </conditionalFormatting>
  <conditionalFormatting sqref="R40:R41 T40:T41">
    <cfRule type="expression" dxfId="126" priority="4" stopIfTrue="1">
      <formula>IF(AND($Q40=$U40,$Q40&lt;&gt;"",$U40&lt;&gt;"",OR($R40="",$T40="")),1,0)=1</formula>
    </cfRule>
  </conditionalFormatting>
  <conditionalFormatting sqref="R48 T48">
    <cfRule type="expression" dxfId="125" priority="3" stopIfTrue="1">
      <formula>IF(AND($Q48=$U48,$Q48&lt;&gt;"",$U48&lt;&gt;"",OR($R48="",$T48="")),1,0)=1</formula>
    </cfRule>
  </conditionalFormatting>
  <conditionalFormatting sqref="R55 T55">
    <cfRule type="expression" dxfId="124" priority="2" stopIfTrue="1">
      <formula>IF(AND($Q55=$U55,$Q55&lt;&gt;"",$U55&lt;&gt;"",OR($R55="",$T55="")),1,0)=1</formula>
    </cfRule>
  </conditionalFormatting>
  <conditionalFormatting sqref="Q4:Q9 R5">
    <cfRule type="expression" dxfId="123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>
      <selection activeCell="L10" sqref="L10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637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636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7134947570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56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4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0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2</v>
      </c>
      <c r="Z19" s="302" t="s">
        <v>522</v>
      </c>
      <c r="AA19" s="299">
        <v>1</v>
      </c>
      <c r="AB19" s="300" t="s">
        <v>50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3</v>
      </c>
      <c r="J21" s="510">
        <v>0</v>
      </c>
      <c r="K21" s="510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4</v>
      </c>
      <c r="Z21" s="302" t="s">
        <v>522</v>
      </c>
      <c r="AA21" s="299">
        <v>1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77</v>
      </c>
      <c r="Y23" s="319">
        <v>1</v>
      </c>
      <c r="Z23" s="305" t="s">
        <v>522</v>
      </c>
      <c r="AA23" s="319">
        <v>2</v>
      </c>
      <c r="AB23" s="321" t="s">
        <v>70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5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1</v>
      </c>
      <c r="Z30" s="269" t="s">
        <v>522</v>
      </c>
      <c r="AA30" s="282">
        <v>0</v>
      </c>
      <c r="AB30" s="284" t="s">
        <v>56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0</v>
      </c>
      <c r="H32" s="308" t="s">
        <v>24</v>
      </c>
      <c r="I32" s="307">
        <v>2</v>
      </c>
      <c r="J32" s="510">
        <v>0</v>
      </c>
      <c r="K32" s="510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3</v>
      </c>
      <c r="Z32" s="302" t="s">
        <v>522</v>
      </c>
      <c r="AA32" s="299">
        <v>1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2</v>
      </c>
      <c r="Z33" s="305" t="s">
        <v>522</v>
      </c>
      <c r="AA33" s="319">
        <v>0</v>
      </c>
      <c r="AB33" s="321" t="s">
        <v>70</v>
      </c>
      <c r="AC33" s="528">
        <v>0</v>
      </c>
      <c r="AD33" s="528">
        <v>0</v>
      </c>
      <c r="AE33" s="528">
        <v>0</v>
      </c>
      <c r="AF33" s="528">
        <v>0</v>
      </c>
      <c r="AG33" s="528">
        <v>0</v>
      </c>
      <c r="AH33" s="528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0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09"/>
      <c r="AA39" s="509"/>
      <c r="AB39" s="509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2</v>
      </c>
      <c r="Z40" s="269" t="s">
        <v>522</v>
      </c>
      <c r="AA40" s="282">
        <v>0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0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0</v>
      </c>
      <c r="AH41" s="528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0</v>
      </c>
      <c r="J43" s="510">
        <v>0</v>
      </c>
      <c r="K43" s="51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09"/>
      <c r="AA47" s="509"/>
      <c r="AB47" s="509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0</v>
      </c>
      <c r="Z48" s="400" t="s">
        <v>522</v>
      </c>
      <c r="AA48" s="341">
        <v>1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3</v>
      </c>
      <c r="J54" s="510">
        <v>0</v>
      </c>
      <c r="K54" s="51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09"/>
      <c r="AA54" s="509"/>
      <c r="AB54" s="509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0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510">
        <v>0</v>
      </c>
      <c r="K65" s="51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510">
        <v>0</v>
      </c>
      <c r="K76" s="51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1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0</v>
      </c>
      <c r="J87" s="510">
        <v>0</v>
      </c>
      <c r="K87" s="51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2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0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2</v>
      </c>
      <c r="H97" s="291" t="s">
        <v>24</v>
      </c>
      <c r="I97" s="290">
        <v>1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456" t="s">
        <v>75</v>
      </c>
      <c r="C98" s="454"/>
      <c r="D98" s="455" t="s">
        <v>522</v>
      </c>
      <c r="E98" s="454"/>
      <c r="F98" s="453" t="s">
        <v>76</v>
      </c>
      <c r="G98" s="451">
        <v>0</v>
      </c>
      <c r="H98" s="452" t="s">
        <v>24</v>
      </c>
      <c r="I98" s="451">
        <v>1</v>
      </c>
      <c r="J98" s="511">
        <v>0</v>
      </c>
      <c r="K98" s="511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447" t="s">
        <v>524</v>
      </c>
      <c r="H100" s="447"/>
      <c r="I100" s="447"/>
      <c r="J100" s="446">
        <f>SUM(J99:K99)</f>
        <v>0</v>
      </c>
      <c r="K100" s="446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22" priority="7" stopIfTrue="1" operator="equal">
      <formula>""</formula>
    </cfRule>
  </conditionalFormatting>
  <conditionalFormatting sqref="R16:R23 T16:T23">
    <cfRule type="expression" dxfId="121" priority="6" stopIfTrue="1">
      <formula>IF(AND($Q16=$U16,$Q16&lt;&gt;"",$U16&lt;&gt;"",OR($R16="",$T16="")),1,0)=1</formula>
    </cfRule>
  </conditionalFormatting>
  <conditionalFormatting sqref="R30:R33 T30:T33">
    <cfRule type="expression" dxfId="120" priority="5" stopIfTrue="1">
      <formula>IF(AND($Q30=$U30,$Q30&lt;&gt;"",$U30&lt;&gt;"",OR($R30="",$T30="")),1,0)=1</formula>
    </cfRule>
  </conditionalFormatting>
  <conditionalFormatting sqref="R40:R41 T40:T41">
    <cfRule type="expression" dxfId="119" priority="4" stopIfTrue="1">
      <formula>IF(AND($Q40=$U40,$Q40&lt;&gt;"",$U40&lt;&gt;"",OR($R40="",$T40="")),1,0)=1</formula>
    </cfRule>
  </conditionalFormatting>
  <conditionalFormatting sqref="R48 T48">
    <cfRule type="expression" dxfId="118" priority="3" stopIfTrue="1">
      <formula>IF(AND($Q48=$U48,$Q48&lt;&gt;"",$U48&lt;&gt;"",OR($R48="",$T48="")),1,0)=1</formula>
    </cfRule>
  </conditionalFormatting>
  <conditionalFormatting sqref="R55 T55">
    <cfRule type="expression" dxfId="117" priority="2" stopIfTrue="1">
      <formula>IF(AND($Q55=$U55,$Q55&lt;&gt;"",$U55&lt;&gt;"",OR($R55="",$T55="")),1,0)=1</formula>
    </cfRule>
  </conditionalFormatting>
  <conditionalFormatting sqref="Q4:Q9 R5">
    <cfRule type="expression" dxfId="116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639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24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638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5129646499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2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2</v>
      </c>
      <c r="Z19" s="302" t="s">
        <v>522</v>
      </c>
      <c r="AA19" s="299">
        <v>0</v>
      </c>
      <c r="AB19" s="300" t="s">
        <v>50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3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4</v>
      </c>
      <c r="J21" s="510">
        <v>0</v>
      </c>
      <c r="K21" s="510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74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4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76</v>
      </c>
      <c r="Y23" s="319">
        <v>1</v>
      </c>
      <c r="Z23" s="305" t="s">
        <v>522</v>
      </c>
      <c r="AA23" s="319">
        <v>2</v>
      </c>
      <c r="AB23" s="321" t="s">
        <v>70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4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2</v>
      </c>
      <c r="Z31" s="302" t="s">
        <v>522</v>
      </c>
      <c r="AA31" s="299">
        <v>3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510">
        <v>0</v>
      </c>
      <c r="K32" s="510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1</v>
      </c>
      <c r="AB33" s="321" t="s">
        <v>70</v>
      </c>
      <c r="AC33" s="528">
        <v>0</v>
      </c>
      <c r="AD33" s="528">
        <v>0</v>
      </c>
      <c r="AE33" s="528">
        <v>0</v>
      </c>
      <c r="AF33" s="528">
        <v>0</v>
      </c>
      <c r="AG33" s="528">
        <v>0</v>
      </c>
      <c r="AH33" s="528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09"/>
      <c r="AA39" s="509"/>
      <c r="AB39" s="509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3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2</v>
      </c>
      <c r="Z40" s="269" t="s">
        <v>522</v>
      </c>
      <c r="AA40" s="282">
        <v>1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3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2</v>
      </c>
      <c r="Z41" s="305" t="s">
        <v>522</v>
      </c>
      <c r="AA41" s="319">
        <v>3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0</v>
      </c>
      <c r="AH41" s="528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1</v>
      </c>
      <c r="J43" s="510">
        <v>0</v>
      </c>
      <c r="K43" s="51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09"/>
      <c r="AA47" s="509"/>
      <c r="AB47" s="509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1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3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4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1</v>
      </c>
      <c r="J54" s="510">
        <v>0</v>
      </c>
      <c r="K54" s="51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09"/>
      <c r="AA54" s="509"/>
      <c r="AB54" s="509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3</v>
      </c>
      <c r="Z55" s="400" t="s">
        <v>522</v>
      </c>
      <c r="AA55" s="341">
        <v>2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4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2</v>
      </c>
      <c r="H63" s="291" t="s">
        <v>24</v>
      </c>
      <c r="I63" s="290">
        <v>4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2</v>
      </c>
      <c r="H65" s="308" t="s">
        <v>24</v>
      </c>
      <c r="I65" s="307">
        <v>2</v>
      </c>
      <c r="J65" s="510">
        <v>0</v>
      </c>
      <c r="K65" s="51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4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3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0</v>
      </c>
      <c r="J76" s="510">
        <v>0</v>
      </c>
      <c r="K76" s="51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3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3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4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2</v>
      </c>
      <c r="H86" s="291" t="s">
        <v>24</v>
      </c>
      <c r="I86" s="290">
        <v>4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1</v>
      </c>
      <c r="J87" s="510">
        <v>0</v>
      </c>
      <c r="K87" s="51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0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2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2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510">
        <v>0</v>
      </c>
      <c r="K98" s="510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15" priority="7" stopIfTrue="1" operator="equal">
      <formula>""</formula>
    </cfRule>
  </conditionalFormatting>
  <conditionalFormatting sqref="R16:R23 T16:T23">
    <cfRule type="expression" dxfId="114" priority="6" stopIfTrue="1">
      <formula>IF(AND($Q16=$U16,$Q16&lt;&gt;"",$U16&lt;&gt;"",OR($R16="",$T16="")),1,0)=1</formula>
    </cfRule>
  </conditionalFormatting>
  <conditionalFormatting sqref="R30:R33 T30:T33">
    <cfRule type="expression" dxfId="113" priority="5" stopIfTrue="1">
      <formula>IF(AND($Q30=$U30,$Q30&lt;&gt;"",$U30&lt;&gt;"",OR($R30="",$T30="")),1,0)=1</formula>
    </cfRule>
  </conditionalFormatting>
  <conditionalFormatting sqref="R40:R41 T40:T41">
    <cfRule type="expression" dxfId="112" priority="4" stopIfTrue="1">
      <formula>IF(AND($Q40=$U40,$Q40&lt;&gt;"",$U40&lt;&gt;"",OR($R40="",$T40="")),1,0)=1</formula>
    </cfRule>
  </conditionalFormatting>
  <conditionalFormatting sqref="R48 T48">
    <cfRule type="expression" dxfId="111" priority="3" stopIfTrue="1">
      <formula>IF(AND($Q48=$U48,$Q48&lt;&gt;"",$U48&lt;&gt;"",OR($R48="",$T48="")),1,0)=1</formula>
    </cfRule>
  </conditionalFormatting>
  <conditionalFormatting sqref="R55 T55">
    <cfRule type="expression" dxfId="110" priority="2" stopIfTrue="1">
      <formula>IF(AND($Q55=$U55,$Q55&lt;&gt;"",$U55&lt;&gt;"",OR($R55="",$T55="")),1,0)=1</formula>
    </cfRule>
  </conditionalFormatting>
  <conditionalFormatting sqref="Q4:Q9 R5">
    <cfRule type="expression" dxfId="109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1200" verticalDpi="1200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643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23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642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641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640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2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52</v>
      </c>
      <c r="Y17" s="299">
        <v>0</v>
      </c>
      <c r="Z17" s="302" t="s">
        <v>522</v>
      </c>
      <c r="AA17" s="299">
        <v>2</v>
      </c>
      <c r="AB17" s="300" t="s">
        <v>56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4</v>
      </c>
      <c r="Z18" s="302" t="s">
        <v>522</v>
      </c>
      <c r="AA18" s="299">
        <v>1</v>
      </c>
      <c r="AB18" s="300" t="s">
        <v>28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2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1</v>
      </c>
      <c r="AB19" s="300" t="s">
        <v>49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1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2</v>
      </c>
      <c r="J21" s="510">
        <v>0</v>
      </c>
      <c r="K21" s="510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70</v>
      </c>
      <c r="Y21" s="299">
        <v>1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59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0</v>
      </c>
      <c r="Z23" s="305" t="s">
        <v>522</v>
      </c>
      <c r="AA23" s="319">
        <v>2</v>
      </c>
      <c r="AB23" s="321" t="s">
        <v>69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4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56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3</v>
      </c>
      <c r="Z31" s="302" t="s">
        <v>522</v>
      </c>
      <c r="AA31" s="299">
        <v>1</v>
      </c>
      <c r="AB31" s="300" t="s">
        <v>70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0</v>
      </c>
      <c r="H32" s="308" t="s">
        <v>24</v>
      </c>
      <c r="I32" s="307">
        <v>1</v>
      </c>
      <c r="J32" s="510">
        <v>0</v>
      </c>
      <c r="K32" s="510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1</v>
      </c>
      <c r="AB33" s="321" t="s">
        <v>69</v>
      </c>
      <c r="AC33" s="528">
        <v>0</v>
      </c>
      <c r="AD33" s="528">
        <v>0</v>
      </c>
      <c r="AE33" s="528">
        <v>0</v>
      </c>
      <c r="AF33" s="528">
        <v>0</v>
      </c>
      <c r="AG33" s="528">
        <v>0</v>
      </c>
      <c r="AH33" s="528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3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09"/>
      <c r="AA39" s="509"/>
      <c r="AB39" s="509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1</v>
      </c>
      <c r="AB40" s="284" t="s">
        <v>61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3</v>
      </c>
      <c r="Z41" s="305" t="s">
        <v>522</v>
      </c>
      <c r="AA41" s="319">
        <v>2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0</v>
      </c>
      <c r="AH41" s="528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1</v>
      </c>
      <c r="J43" s="510">
        <v>0</v>
      </c>
      <c r="K43" s="51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09"/>
      <c r="AA47" s="509"/>
      <c r="AB47" s="509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61</v>
      </c>
      <c r="Y48" s="341">
        <v>0</v>
      </c>
      <c r="Z48" s="400" t="s">
        <v>522</v>
      </c>
      <c r="AA48" s="341">
        <v>2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3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3</v>
      </c>
      <c r="J54" s="510">
        <v>0</v>
      </c>
      <c r="K54" s="51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09"/>
      <c r="AA54" s="509"/>
      <c r="AB54" s="509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3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3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2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3</v>
      </c>
      <c r="J65" s="510">
        <v>0</v>
      </c>
      <c r="K65" s="51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2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3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0</v>
      </c>
      <c r="J76" s="510">
        <v>0</v>
      </c>
      <c r="K76" s="51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3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0</v>
      </c>
      <c r="J87" s="510">
        <v>0</v>
      </c>
      <c r="K87" s="51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1</v>
      </c>
      <c r="H98" s="308" t="s">
        <v>24</v>
      </c>
      <c r="I98" s="307">
        <v>3</v>
      </c>
      <c r="J98" s="510">
        <v>0</v>
      </c>
      <c r="K98" s="510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08" priority="7" stopIfTrue="1" operator="equal">
      <formula>""</formula>
    </cfRule>
  </conditionalFormatting>
  <conditionalFormatting sqref="R16:R23 T16:T23">
    <cfRule type="expression" dxfId="107" priority="6" stopIfTrue="1">
      <formula>IF(AND($Q16=$U16,$Q16&lt;&gt;"",$U16&lt;&gt;"",OR($R16="",$T16="")),1,0)=1</formula>
    </cfRule>
  </conditionalFormatting>
  <conditionalFormatting sqref="R30:R33 T30:T33">
    <cfRule type="expression" dxfId="106" priority="5" stopIfTrue="1">
      <formula>IF(AND($Q30=$U30,$Q30&lt;&gt;"",$U30&lt;&gt;"",OR($R30="",$T30="")),1,0)=1</formula>
    </cfRule>
  </conditionalFormatting>
  <conditionalFormatting sqref="R40:R41 T40:T41">
    <cfRule type="expression" dxfId="105" priority="4" stopIfTrue="1">
      <formula>IF(AND($Q40=$U40,$Q40&lt;&gt;"",$U40&lt;&gt;"",OR($R40="",$T40="")),1,0)=1</formula>
    </cfRule>
  </conditionalFormatting>
  <conditionalFormatting sqref="R48 T48">
    <cfRule type="expression" dxfId="104" priority="3" stopIfTrue="1">
      <formula>IF(AND($Q48=$U48,$Q48&lt;&gt;"",$U48&lt;&gt;"",OR($R48="",$T48="")),1,0)=1</formula>
    </cfRule>
  </conditionalFormatting>
  <conditionalFormatting sqref="R55 T55">
    <cfRule type="expression" dxfId="103" priority="2" stopIfTrue="1">
      <formula>IF(AND($Q55=$U55,$Q55&lt;&gt;"",$U55&lt;&gt;"",OR($R55="",$T55="")),1,0)=1</formula>
    </cfRule>
  </conditionalFormatting>
  <conditionalFormatting sqref="Q4:Q9 R5">
    <cfRule type="expression" dxfId="102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647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30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49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646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645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 t="s">
        <v>644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2</v>
      </c>
      <c r="Z17" s="302" t="s">
        <v>522</v>
      </c>
      <c r="AA17" s="299">
        <v>1</v>
      </c>
      <c r="AB17" s="300" t="s">
        <v>56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0</v>
      </c>
      <c r="AB18" s="300" t="s">
        <v>27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2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1</v>
      </c>
      <c r="AB19" s="300" t="s">
        <v>52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60</v>
      </c>
      <c r="Y20" s="299">
        <v>2</v>
      </c>
      <c r="Z20" s="302" t="s">
        <v>522</v>
      </c>
      <c r="AA20" s="299">
        <v>2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4</v>
      </c>
      <c r="AH20" s="517">
        <v>5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1</v>
      </c>
      <c r="J21" s="510">
        <v>0</v>
      </c>
      <c r="K21" s="510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77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0</v>
      </c>
      <c r="AB22" s="300" t="s">
        <v>59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3</v>
      </c>
      <c r="Z23" s="305" t="s">
        <v>522</v>
      </c>
      <c r="AA23" s="319">
        <v>2</v>
      </c>
      <c r="AB23" s="321" t="s">
        <v>70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3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3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3</v>
      </c>
      <c r="Z30" s="269" t="s">
        <v>522</v>
      </c>
      <c r="AA30" s="282">
        <v>2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67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510">
        <v>0</v>
      </c>
      <c r="K32" s="510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2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5</v>
      </c>
      <c r="AH32" s="517">
        <v>3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2</v>
      </c>
      <c r="AB33" s="321" t="s">
        <v>74</v>
      </c>
      <c r="AC33" s="528">
        <v>0</v>
      </c>
      <c r="AD33" s="528">
        <v>0</v>
      </c>
      <c r="AE33" s="528">
        <v>0</v>
      </c>
      <c r="AF33" s="528">
        <v>0</v>
      </c>
      <c r="AG33" s="528">
        <v>0</v>
      </c>
      <c r="AH33" s="528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1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09"/>
      <c r="AA39" s="509"/>
      <c r="AB39" s="509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2</v>
      </c>
      <c r="Z40" s="269" t="s">
        <v>522</v>
      </c>
      <c r="AA40" s="282">
        <v>1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2</v>
      </c>
      <c r="Z41" s="305" t="s">
        <v>522</v>
      </c>
      <c r="AA41" s="319">
        <v>3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0</v>
      </c>
      <c r="AH41" s="528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2</v>
      </c>
      <c r="J43" s="510">
        <v>0</v>
      </c>
      <c r="K43" s="51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09"/>
      <c r="AA47" s="509"/>
      <c r="AB47" s="509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3</v>
      </c>
      <c r="Z48" s="400" t="s">
        <v>522</v>
      </c>
      <c r="AA48" s="341">
        <v>1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3</v>
      </c>
      <c r="J54" s="510">
        <v>0</v>
      </c>
      <c r="K54" s="51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09"/>
      <c r="AA54" s="509"/>
      <c r="AB54" s="509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1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2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1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3</v>
      </c>
      <c r="H65" s="308" t="s">
        <v>24</v>
      </c>
      <c r="I65" s="307">
        <v>1</v>
      </c>
      <c r="J65" s="510">
        <v>0</v>
      </c>
      <c r="K65" s="51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3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2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510">
        <v>0</v>
      </c>
      <c r="K76" s="51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2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2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2</v>
      </c>
      <c r="J87" s="510">
        <v>0</v>
      </c>
      <c r="K87" s="51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2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3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0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2</v>
      </c>
      <c r="H98" s="308" t="s">
        <v>24</v>
      </c>
      <c r="I98" s="307">
        <v>2</v>
      </c>
      <c r="J98" s="510">
        <v>0</v>
      </c>
      <c r="K98" s="510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01" priority="7" stopIfTrue="1" operator="equal">
      <formula>""</formula>
    </cfRule>
  </conditionalFormatting>
  <conditionalFormatting sqref="R16:R23 T16:T23">
    <cfRule type="expression" dxfId="100" priority="6" stopIfTrue="1">
      <formula>IF(AND($Q16=$U16,$Q16&lt;&gt;"",$U16&lt;&gt;"",OR($R16="",$T16="")),1,0)=1</formula>
    </cfRule>
  </conditionalFormatting>
  <conditionalFormatting sqref="R30:R33 T30:T33">
    <cfRule type="expression" dxfId="99" priority="5" stopIfTrue="1">
      <formula>IF(AND($Q30=$U30,$Q30&lt;&gt;"",$U30&lt;&gt;"",OR($R30="",$T30="")),1,0)=1</formula>
    </cfRule>
  </conditionalFormatting>
  <conditionalFormatting sqref="R40:R41 T40:T41">
    <cfRule type="expression" dxfId="98" priority="4" stopIfTrue="1">
      <formula>IF(AND($Q40=$U40,$Q40&lt;&gt;"",$U40&lt;&gt;"",OR($R40="",$T40="")),1,0)=1</formula>
    </cfRule>
  </conditionalFormatting>
  <conditionalFormatting sqref="R48 T48">
    <cfRule type="expression" dxfId="97" priority="3" stopIfTrue="1">
      <formula>IF(AND($Q48=$U48,$Q48&lt;&gt;"",$U48&lt;&gt;"",OR($R48="",$T48="")),1,0)=1</formula>
    </cfRule>
  </conditionalFormatting>
  <conditionalFormatting sqref="R55 T55">
    <cfRule type="expression" dxfId="96" priority="2" stopIfTrue="1">
      <formula>IF(AND($Q55=$U55,$Q55&lt;&gt;"",$U55&lt;&gt;"",OR($R55="",$T55="")),1,0)=1</formula>
    </cfRule>
  </conditionalFormatting>
  <conditionalFormatting sqref="Q4:Q9 R5">
    <cfRule type="expression" dxfId="95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9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84"/>
      <c r="R3" s="684"/>
      <c r="S3" s="684"/>
      <c r="T3" s="684"/>
      <c r="U3" s="684"/>
      <c r="V3" s="684"/>
      <c r="W3" s="684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651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27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650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649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648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9548546283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2</v>
      </c>
      <c r="H17" s="291" t="s">
        <v>24</v>
      </c>
      <c r="I17" s="290">
        <v>2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52</v>
      </c>
      <c r="Y17" s="299">
        <v>1</v>
      </c>
      <c r="Z17" s="302" t="s">
        <v>522</v>
      </c>
      <c r="AA17" s="299">
        <v>1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3</v>
      </c>
      <c r="AH17" s="517">
        <v>4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1</v>
      </c>
      <c r="AB19" s="300" t="s">
        <v>49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3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0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2</v>
      </c>
      <c r="J21" s="510">
        <v>0</v>
      </c>
      <c r="K21" s="510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70</v>
      </c>
      <c r="Y21" s="299">
        <v>2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0</v>
      </c>
      <c r="AB23" s="321" t="s">
        <v>69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3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70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2</v>
      </c>
      <c r="J32" s="510">
        <v>0</v>
      </c>
      <c r="K32" s="510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1</v>
      </c>
      <c r="AB33" s="321" t="s">
        <v>74</v>
      </c>
      <c r="AC33" s="528">
        <v>0</v>
      </c>
      <c r="AD33" s="528">
        <v>0</v>
      </c>
      <c r="AE33" s="528">
        <v>0</v>
      </c>
      <c r="AF33" s="528">
        <v>0</v>
      </c>
      <c r="AG33" s="528">
        <v>0</v>
      </c>
      <c r="AH33" s="528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09"/>
      <c r="AA39" s="509"/>
      <c r="AB39" s="509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0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57</v>
      </c>
      <c r="Y40" s="282">
        <v>1</v>
      </c>
      <c r="Z40" s="269" t="s">
        <v>522</v>
      </c>
      <c r="AA40" s="282">
        <v>2</v>
      </c>
      <c r="AB40" s="284" t="s">
        <v>70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3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1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4</v>
      </c>
      <c r="AH41" s="528">
        <v>3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2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2</v>
      </c>
      <c r="J43" s="510">
        <v>0</v>
      </c>
      <c r="K43" s="510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09"/>
      <c r="AA47" s="509"/>
      <c r="AB47" s="509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57</v>
      </c>
      <c r="Y48" s="341">
        <v>0</v>
      </c>
      <c r="Z48" s="400" t="s">
        <v>522</v>
      </c>
      <c r="AA48" s="341">
        <v>2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4</v>
      </c>
      <c r="J54" s="510">
        <v>0</v>
      </c>
      <c r="K54" s="510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09"/>
      <c r="AA54" s="509"/>
      <c r="AB54" s="509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70</v>
      </c>
      <c r="Y55" s="341">
        <v>1</v>
      </c>
      <c r="Z55" s="400" t="s">
        <v>522</v>
      </c>
      <c r="AA55" s="341">
        <v>2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618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1</v>
      </c>
      <c r="J65" s="510">
        <v>0</v>
      </c>
      <c r="K65" s="510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0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0</v>
      </c>
      <c r="J76" s="510">
        <v>0</v>
      </c>
      <c r="K76" s="510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1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1</v>
      </c>
      <c r="J87" s="510">
        <v>0</v>
      </c>
      <c r="K87" s="510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1</v>
      </c>
      <c r="H98" s="308" t="s">
        <v>24</v>
      </c>
      <c r="I98" s="307">
        <v>3</v>
      </c>
      <c r="J98" s="510">
        <v>0</v>
      </c>
      <c r="K98" s="510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2:C10"/>
    <mergeCell ref="D2:I2"/>
    <mergeCell ref="P2:X3"/>
    <mergeCell ref="D10:I10"/>
    <mergeCell ref="AB2:AF2"/>
    <mergeCell ref="D8:I8"/>
    <mergeCell ref="Q8:X8"/>
    <mergeCell ref="D9:I9"/>
    <mergeCell ref="Q9:X9"/>
    <mergeCell ref="AB5:AF5"/>
    <mergeCell ref="D6:I6"/>
    <mergeCell ref="Q6:X6"/>
    <mergeCell ref="D7:I7"/>
    <mergeCell ref="Q7:X7"/>
    <mergeCell ref="AB7:AF7"/>
    <mergeCell ref="D3:I3"/>
    <mergeCell ref="D4:I4"/>
    <mergeCell ref="Q4:X4"/>
    <mergeCell ref="D5:I5"/>
    <mergeCell ref="Q5:R5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94" priority="7" stopIfTrue="1" operator="equal">
      <formula>""</formula>
    </cfRule>
  </conditionalFormatting>
  <conditionalFormatting sqref="R16:R23 T16:T23">
    <cfRule type="expression" dxfId="93" priority="6" stopIfTrue="1">
      <formula>IF(AND($Q16=$U16,$Q16&lt;&gt;"",$U16&lt;&gt;"",OR($R16="",$T16="")),1,0)=1</formula>
    </cfRule>
  </conditionalFormatting>
  <conditionalFormatting sqref="R30:R33 T30:T33">
    <cfRule type="expression" dxfId="92" priority="5" stopIfTrue="1">
      <formula>IF(AND($Q30=$U30,$Q30&lt;&gt;"",$U30&lt;&gt;"",OR($R30="",$T30="")),1,0)=1</formula>
    </cfRule>
  </conditionalFormatting>
  <conditionalFormatting sqref="R40:R41 T40:T41">
    <cfRule type="expression" dxfId="91" priority="4" stopIfTrue="1">
      <formula>IF(AND($Q40=$U40,$Q40&lt;&gt;"",$U40&lt;&gt;"",OR($R40="",$T40="")),1,0)=1</formula>
    </cfRule>
  </conditionalFormatting>
  <conditionalFormatting sqref="R48 T48">
    <cfRule type="expression" dxfId="90" priority="3" stopIfTrue="1">
      <formula>IF(AND($Q48=$U48,$Q48&lt;&gt;"",$U48&lt;&gt;"",OR($R48="",$T48="")),1,0)=1</formula>
    </cfRule>
  </conditionalFormatting>
  <conditionalFormatting sqref="R55 T55">
    <cfRule type="expression" dxfId="89" priority="2" stopIfTrue="1">
      <formula>IF(AND($Q55=$U55,$Q55&lt;&gt;"",$U55&lt;&gt;"",OR($R55="",$T55="")),1,0)=1</formula>
    </cfRule>
  </conditionalFormatting>
  <conditionalFormatting sqref="Q4:Q9 R5">
    <cfRule type="expression" dxfId="88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0"/>
  <dimension ref="A1:BA152"/>
  <sheetViews>
    <sheetView workbookViewId="0">
      <selection activeCell="AB9" sqref="AB9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66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69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506" t="s">
        <v>498</v>
      </c>
      <c r="Q4" s="641" t="s">
        <v>652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506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506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506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506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505">
        <f>AC56</f>
        <v>0</v>
      </c>
      <c r="K9" s="164"/>
      <c r="L9" s="163"/>
      <c r="M9" s="163"/>
      <c r="N9" s="163"/>
      <c r="O9" s="163"/>
      <c r="P9" s="504" t="s">
        <v>509</v>
      </c>
      <c r="Q9" s="663"/>
      <c r="R9" s="664"/>
      <c r="S9" s="664"/>
      <c r="T9" s="664"/>
      <c r="U9" s="664"/>
      <c r="V9" s="664"/>
      <c r="W9" s="664"/>
      <c r="X9" s="665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72" t="s">
        <v>510</v>
      </c>
      <c r="E10" s="672"/>
      <c r="F10" s="672"/>
      <c r="G10" s="672"/>
      <c r="H10" s="672"/>
      <c r="I10" s="672"/>
      <c r="J10" s="503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73"/>
      <c r="C15" s="673"/>
      <c r="D15" s="673"/>
      <c r="E15" s="673"/>
      <c r="F15" s="673"/>
      <c r="G15" s="464" t="s">
        <v>517</v>
      </c>
      <c r="H15" s="464"/>
      <c r="I15" s="464"/>
      <c r="J15" s="463" t="s">
        <v>518</v>
      </c>
      <c r="K15" s="463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74" t="s">
        <v>517</v>
      </c>
      <c r="X15" s="674"/>
      <c r="Y15" s="674"/>
      <c r="Z15" s="674"/>
      <c r="AA15" s="674"/>
      <c r="AB15" s="674"/>
      <c r="AC15" s="265" t="s">
        <v>520</v>
      </c>
      <c r="AD15" s="265" t="s">
        <v>521</v>
      </c>
      <c r="AE15" s="463" t="s">
        <v>518</v>
      </c>
      <c r="AF15" s="463" t="s">
        <v>519</v>
      </c>
      <c r="AG15" s="463" t="s">
        <v>520</v>
      </c>
      <c r="AH15" s="463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462" t="s">
        <v>25</v>
      </c>
      <c r="C16" s="460"/>
      <c r="D16" s="461" t="s">
        <v>522</v>
      </c>
      <c r="E16" s="460"/>
      <c r="F16" s="459" t="s">
        <v>26</v>
      </c>
      <c r="G16" s="457">
        <v>2</v>
      </c>
      <c r="H16" s="458" t="s">
        <v>24</v>
      </c>
      <c r="I16" s="457">
        <v>0</v>
      </c>
      <c r="J16" s="448">
        <v>0</v>
      </c>
      <c r="K16" s="448">
        <v>0</v>
      </c>
      <c r="L16" s="163"/>
      <c r="M16" s="392" t="s">
        <v>108</v>
      </c>
      <c r="N16" s="391"/>
      <c r="O16" s="266">
        <v>49</v>
      </c>
      <c r="P16" s="498" t="s">
        <v>611</v>
      </c>
      <c r="Q16" s="495"/>
      <c r="R16" s="496"/>
      <c r="S16" s="497" t="s">
        <v>522</v>
      </c>
      <c r="T16" s="496"/>
      <c r="U16" s="495"/>
      <c r="V16" s="494" t="s">
        <v>610</v>
      </c>
      <c r="W16" s="493"/>
      <c r="X16" s="492" t="s">
        <v>25</v>
      </c>
      <c r="Y16" s="491">
        <v>3</v>
      </c>
      <c r="Z16" s="461" t="s">
        <v>522</v>
      </c>
      <c r="AA16" s="491">
        <v>2</v>
      </c>
      <c r="AB16" s="490" t="s">
        <v>43</v>
      </c>
      <c r="AC16" s="467">
        <v>0</v>
      </c>
      <c r="AD16" s="467">
        <v>0</v>
      </c>
      <c r="AE16" s="467">
        <v>0</v>
      </c>
      <c r="AF16" s="467">
        <v>0</v>
      </c>
      <c r="AG16" s="467">
        <v>0</v>
      </c>
      <c r="AH16" s="467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2</v>
      </c>
      <c r="Z17" s="302" t="s">
        <v>522</v>
      </c>
      <c r="AA17" s="299">
        <v>1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44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1</v>
      </c>
      <c r="Z19" s="302" t="s">
        <v>522</v>
      </c>
      <c r="AA19" s="299">
        <v>2</v>
      </c>
      <c r="AB19" s="300" t="s">
        <v>50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456" t="s">
        <v>28</v>
      </c>
      <c r="C21" s="454"/>
      <c r="D21" s="455" t="s">
        <v>522</v>
      </c>
      <c r="E21" s="454"/>
      <c r="F21" s="453" t="s">
        <v>25</v>
      </c>
      <c r="G21" s="451">
        <v>0</v>
      </c>
      <c r="H21" s="452" t="s">
        <v>24</v>
      </c>
      <c r="I21" s="451">
        <v>3</v>
      </c>
      <c r="J21" s="524">
        <v>0</v>
      </c>
      <c r="K21" s="524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449" t="s">
        <v>523</v>
      </c>
      <c r="H22" s="449"/>
      <c r="I22" s="449"/>
      <c r="J22" s="448">
        <f>SUM(J16:J21)</f>
        <v>0</v>
      </c>
      <c r="K22" s="448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447" t="s">
        <v>524</v>
      </c>
      <c r="H23" s="447"/>
      <c r="I23" s="447"/>
      <c r="J23" s="446">
        <f>SUM(J22:K22)</f>
        <v>0</v>
      </c>
      <c r="K23" s="446"/>
      <c r="L23" s="163"/>
      <c r="M23" s="163"/>
      <c r="N23" s="163"/>
      <c r="O23" s="266">
        <v>56</v>
      </c>
      <c r="P23" s="516" t="s">
        <v>597</v>
      </c>
      <c r="Q23" s="454"/>
      <c r="R23" s="487"/>
      <c r="S23" s="488" t="s">
        <v>522</v>
      </c>
      <c r="T23" s="487"/>
      <c r="U23" s="454"/>
      <c r="V23" s="515" t="s">
        <v>596</v>
      </c>
      <c r="W23" s="485"/>
      <c r="X23" s="484" t="s">
        <v>74</v>
      </c>
      <c r="Y23" s="483">
        <v>1</v>
      </c>
      <c r="Z23" s="455" t="s">
        <v>522</v>
      </c>
      <c r="AA23" s="483">
        <v>0</v>
      </c>
      <c r="AB23" s="482" t="s">
        <v>70</v>
      </c>
      <c r="AC23" s="525">
        <v>0</v>
      </c>
      <c r="AD23" s="525">
        <v>0</v>
      </c>
      <c r="AE23" s="525">
        <v>0</v>
      </c>
      <c r="AF23" s="525">
        <v>0</v>
      </c>
      <c r="AG23" s="525">
        <v>0</v>
      </c>
      <c r="AH23" s="525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465" t="s">
        <v>524</v>
      </c>
      <c r="AC25" s="675">
        <f>SUM(AC24:AF24)</f>
        <v>0</v>
      </c>
      <c r="AD25" s="675"/>
      <c r="AE25" s="675"/>
      <c r="AF25" s="675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73"/>
      <c r="C26" s="673"/>
      <c r="D26" s="673"/>
      <c r="E26" s="673"/>
      <c r="F26" s="673"/>
      <c r="G26" s="464" t="s">
        <v>517</v>
      </c>
      <c r="H26" s="464"/>
      <c r="I26" s="464"/>
      <c r="J26" s="463" t="s">
        <v>518</v>
      </c>
      <c r="K26" s="463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502" t="s">
        <v>43</v>
      </c>
      <c r="C27" s="460"/>
      <c r="D27" s="461" t="s">
        <v>522</v>
      </c>
      <c r="E27" s="460"/>
      <c r="F27" s="501" t="s">
        <v>44</v>
      </c>
      <c r="G27" s="457">
        <v>0</v>
      </c>
      <c r="H27" s="458" t="s">
        <v>24</v>
      </c>
      <c r="I27" s="457">
        <v>1</v>
      </c>
      <c r="J27" s="448">
        <v>0</v>
      </c>
      <c r="K27" s="448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74" t="s">
        <v>517</v>
      </c>
      <c r="X29" s="674"/>
      <c r="Y29" s="674"/>
      <c r="Z29" s="674"/>
      <c r="AA29" s="674"/>
      <c r="AB29" s="674"/>
      <c r="AC29" s="265" t="s">
        <v>520</v>
      </c>
      <c r="AD29" s="265" t="s">
        <v>521</v>
      </c>
      <c r="AE29" s="463" t="s">
        <v>518</v>
      </c>
      <c r="AF29" s="463" t="s">
        <v>519</v>
      </c>
      <c r="AG29" s="463" t="s">
        <v>520</v>
      </c>
      <c r="AH29" s="463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98" t="s">
        <v>595</v>
      </c>
      <c r="Q30" s="495"/>
      <c r="R30" s="496"/>
      <c r="S30" s="497" t="s">
        <v>522</v>
      </c>
      <c r="T30" s="496"/>
      <c r="U30" s="495"/>
      <c r="V30" s="494" t="s">
        <v>594</v>
      </c>
      <c r="W30" s="493"/>
      <c r="X30" s="492" t="s">
        <v>25</v>
      </c>
      <c r="Y30" s="491">
        <v>1</v>
      </c>
      <c r="Z30" s="461" t="s">
        <v>522</v>
      </c>
      <c r="AA30" s="491">
        <v>0</v>
      </c>
      <c r="AB30" s="490" t="s">
        <v>49</v>
      </c>
      <c r="AC30" s="467">
        <v>0</v>
      </c>
      <c r="AD30" s="467">
        <v>0</v>
      </c>
      <c r="AE30" s="467">
        <v>0</v>
      </c>
      <c r="AF30" s="467">
        <v>0</v>
      </c>
      <c r="AG30" s="467">
        <v>0</v>
      </c>
      <c r="AH30" s="467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4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3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500" t="s">
        <v>44</v>
      </c>
      <c r="C32" s="454"/>
      <c r="D32" s="455" t="s">
        <v>522</v>
      </c>
      <c r="E32" s="454"/>
      <c r="F32" s="499" t="s">
        <v>45</v>
      </c>
      <c r="G32" s="451">
        <v>1</v>
      </c>
      <c r="H32" s="452" t="s">
        <v>24</v>
      </c>
      <c r="I32" s="451">
        <v>0</v>
      </c>
      <c r="J32" s="524">
        <v>0</v>
      </c>
      <c r="K32" s="524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44</v>
      </c>
      <c r="Y32" s="299">
        <v>2</v>
      </c>
      <c r="Z32" s="302" t="s">
        <v>522</v>
      </c>
      <c r="AA32" s="299">
        <v>1</v>
      </c>
      <c r="AB32" s="300" t="s">
        <v>50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449" t="s">
        <v>523</v>
      </c>
      <c r="H33" s="449"/>
      <c r="I33" s="449"/>
      <c r="J33" s="448">
        <f>SUM(J27:J32)</f>
        <v>0</v>
      </c>
      <c r="K33" s="448">
        <f>SUM(K27:K32)</f>
        <v>0</v>
      </c>
      <c r="L33" s="163"/>
      <c r="M33" s="163"/>
      <c r="N33" s="163"/>
      <c r="O33" s="266">
        <v>60</v>
      </c>
      <c r="P33" s="516" t="s">
        <v>589</v>
      </c>
      <c r="Q33" s="454"/>
      <c r="R33" s="487"/>
      <c r="S33" s="488" t="s">
        <v>522</v>
      </c>
      <c r="T33" s="487"/>
      <c r="U33" s="454"/>
      <c r="V33" s="515" t="s">
        <v>588</v>
      </c>
      <c r="W33" s="485"/>
      <c r="X33" s="484" t="s">
        <v>64</v>
      </c>
      <c r="Y33" s="483">
        <v>2</v>
      </c>
      <c r="Z33" s="455" t="s">
        <v>522</v>
      </c>
      <c r="AA33" s="483">
        <v>0</v>
      </c>
      <c r="AB33" s="482" t="s">
        <v>74</v>
      </c>
      <c r="AC33" s="525">
        <v>0</v>
      </c>
      <c r="AD33" s="525">
        <v>0</v>
      </c>
      <c r="AE33" s="525">
        <v>0</v>
      </c>
      <c r="AF33" s="525">
        <v>0</v>
      </c>
      <c r="AG33" s="525">
        <v>0</v>
      </c>
      <c r="AH33" s="525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447" t="s">
        <v>524</v>
      </c>
      <c r="H34" s="447"/>
      <c r="I34" s="447"/>
      <c r="J34" s="446">
        <f>SUM(J33:K33)</f>
        <v>0</v>
      </c>
      <c r="K34" s="446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465" t="s">
        <v>524</v>
      </c>
      <c r="AC35" s="675">
        <f>SUM(AC34:AF34)</f>
        <v>0</v>
      </c>
      <c r="AD35" s="675"/>
      <c r="AE35" s="675"/>
      <c r="AF35" s="675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464" t="s">
        <v>517</v>
      </c>
      <c r="H37" s="464"/>
      <c r="I37" s="464"/>
      <c r="J37" s="463" t="s">
        <v>518</v>
      </c>
      <c r="K37" s="463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462" t="s">
        <v>49</v>
      </c>
      <c r="C38" s="460"/>
      <c r="D38" s="461" t="s">
        <v>522</v>
      </c>
      <c r="E38" s="460"/>
      <c r="F38" s="459" t="s">
        <v>50</v>
      </c>
      <c r="G38" s="457">
        <v>2</v>
      </c>
      <c r="H38" s="458" t="s">
        <v>24</v>
      </c>
      <c r="I38" s="457">
        <v>1</v>
      </c>
      <c r="J38" s="448">
        <v>0</v>
      </c>
      <c r="K38" s="448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0</v>
      </c>
      <c r="H39" s="291" t="s">
        <v>24</v>
      </c>
      <c r="I39" s="290">
        <v>0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74" t="s">
        <v>529</v>
      </c>
      <c r="X39" s="674"/>
      <c r="Y39" s="674"/>
      <c r="Z39" s="523"/>
      <c r="AA39" s="523"/>
      <c r="AB39" s="523" t="s">
        <v>529</v>
      </c>
      <c r="AC39" s="265" t="s">
        <v>520</v>
      </c>
      <c r="AD39" s="265" t="s">
        <v>521</v>
      </c>
      <c r="AE39" s="463" t="s">
        <v>518</v>
      </c>
      <c r="AF39" s="463" t="s">
        <v>519</v>
      </c>
      <c r="AG39" s="463" t="s">
        <v>520</v>
      </c>
      <c r="AH39" s="463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98" t="s">
        <v>587</v>
      </c>
      <c r="Q40" s="495"/>
      <c r="R40" s="496"/>
      <c r="S40" s="497" t="s">
        <v>522</v>
      </c>
      <c r="T40" s="496"/>
      <c r="U40" s="495"/>
      <c r="V40" s="494" t="s">
        <v>586</v>
      </c>
      <c r="W40" s="493"/>
      <c r="X40" s="492" t="s">
        <v>25</v>
      </c>
      <c r="Y40" s="491">
        <v>2</v>
      </c>
      <c r="Z40" s="461" t="s">
        <v>522</v>
      </c>
      <c r="AA40" s="491">
        <v>0</v>
      </c>
      <c r="AB40" s="490" t="s">
        <v>69</v>
      </c>
      <c r="AC40" s="467">
        <v>0</v>
      </c>
      <c r="AD40" s="467">
        <v>0</v>
      </c>
      <c r="AE40" s="467">
        <v>0</v>
      </c>
      <c r="AF40" s="467">
        <v>0</v>
      </c>
      <c r="AG40" s="467">
        <v>0</v>
      </c>
      <c r="AH40" s="467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16" t="s">
        <v>585</v>
      </c>
      <c r="Q41" s="454"/>
      <c r="R41" s="487"/>
      <c r="S41" s="488" t="s">
        <v>522</v>
      </c>
      <c r="T41" s="487"/>
      <c r="U41" s="454"/>
      <c r="V41" s="515" t="s">
        <v>584</v>
      </c>
      <c r="W41" s="485"/>
      <c r="X41" s="484" t="s">
        <v>44</v>
      </c>
      <c r="Y41" s="483">
        <v>1</v>
      </c>
      <c r="Z41" s="455" t="s">
        <v>522</v>
      </c>
      <c r="AA41" s="483">
        <v>0</v>
      </c>
      <c r="AB41" s="482" t="s">
        <v>64</v>
      </c>
      <c r="AC41" s="525">
        <v>0</v>
      </c>
      <c r="AD41" s="525">
        <v>0</v>
      </c>
      <c r="AE41" s="525">
        <v>0</v>
      </c>
      <c r="AF41" s="525">
        <v>0</v>
      </c>
      <c r="AG41" s="525">
        <v>0</v>
      </c>
      <c r="AH41" s="525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456" t="s">
        <v>50</v>
      </c>
      <c r="C43" s="454"/>
      <c r="D43" s="455" t="s">
        <v>522</v>
      </c>
      <c r="E43" s="454"/>
      <c r="F43" s="453" t="s">
        <v>51</v>
      </c>
      <c r="G43" s="451">
        <v>2</v>
      </c>
      <c r="H43" s="452" t="s">
        <v>24</v>
      </c>
      <c r="I43" s="451">
        <v>2</v>
      </c>
      <c r="J43" s="524">
        <v>0</v>
      </c>
      <c r="K43" s="524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465" t="s">
        <v>524</v>
      </c>
      <c r="AC43" s="675">
        <f>SUM(AC42:AF42)</f>
        <v>0</v>
      </c>
      <c r="AD43" s="675"/>
      <c r="AE43" s="675"/>
      <c r="AF43" s="675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449" t="s">
        <v>523</v>
      </c>
      <c r="H44" s="449"/>
      <c r="I44" s="449"/>
      <c r="J44" s="448">
        <f>SUM(J38:J43)</f>
        <v>0</v>
      </c>
      <c r="K44" s="448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447" t="s">
        <v>524</v>
      </c>
      <c r="H45" s="447"/>
      <c r="I45" s="447"/>
      <c r="J45" s="446">
        <f>SUM(J44:K44)</f>
        <v>0</v>
      </c>
      <c r="K45" s="446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74" t="s">
        <v>529</v>
      </c>
      <c r="X47" s="674"/>
      <c r="Y47" s="674"/>
      <c r="Z47" s="523"/>
      <c r="AA47" s="523"/>
      <c r="AB47" s="523" t="s">
        <v>529</v>
      </c>
      <c r="AC47" s="265"/>
      <c r="AD47" s="265"/>
      <c r="AE47" s="463" t="s">
        <v>518</v>
      </c>
      <c r="AF47" s="463" t="s">
        <v>519</v>
      </c>
      <c r="AG47" s="463" t="s">
        <v>520</v>
      </c>
      <c r="AH47" s="463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464" t="s">
        <v>517</v>
      </c>
      <c r="H48" s="464"/>
      <c r="I48" s="464"/>
      <c r="J48" s="463" t="s">
        <v>518</v>
      </c>
      <c r="K48" s="463" t="s">
        <v>519</v>
      </c>
      <c r="L48" s="163"/>
      <c r="M48" s="263" t="s">
        <v>476</v>
      </c>
      <c r="N48" s="264"/>
      <c r="O48" s="266">
        <v>63</v>
      </c>
      <c r="P48" s="477" t="s">
        <v>583</v>
      </c>
      <c r="Q48" s="474"/>
      <c r="R48" s="475"/>
      <c r="S48" s="476" t="s">
        <v>522</v>
      </c>
      <c r="T48" s="475"/>
      <c r="U48" s="474"/>
      <c r="V48" s="473" t="s">
        <v>582</v>
      </c>
      <c r="W48" s="472"/>
      <c r="X48" s="471" t="s">
        <v>69</v>
      </c>
      <c r="Y48" s="469">
        <v>1</v>
      </c>
      <c r="Z48" s="470" t="s">
        <v>522</v>
      </c>
      <c r="AA48" s="469">
        <v>0</v>
      </c>
      <c r="AB48" s="468" t="s">
        <v>64</v>
      </c>
      <c r="AC48" s="480"/>
      <c r="AD48" s="480"/>
      <c r="AE48" s="480">
        <v>0</v>
      </c>
      <c r="AF48" s="480">
        <v>0</v>
      </c>
      <c r="AG48" s="480">
        <v>0</v>
      </c>
      <c r="AH48" s="480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462" t="s">
        <v>54</v>
      </c>
      <c r="C49" s="460"/>
      <c r="D49" s="461" t="s">
        <v>522</v>
      </c>
      <c r="E49" s="460"/>
      <c r="F49" s="459" t="s">
        <v>55</v>
      </c>
      <c r="G49" s="457">
        <v>3</v>
      </c>
      <c r="H49" s="458" t="s">
        <v>24</v>
      </c>
      <c r="I49" s="457">
        <v>1</v>
      </c>
      <c r="J49" s="448">
        <v>0</v>
      </c>
      <c r="K49" s="448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479" t="s">
        <v>524</v>
      </c>
      <c r="AC49" s="675">
        <f>SUM(AC48:AF48)</f>
        <v>0</v>
      </c>
      <c r="AD49" s="675"/>
      <c r="AE49" s="675"/>
      <c r="AF49" s="675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0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76"/>
      <c r="AD50" s="676"/>
      <c r="AE50" s="676"/>
      <c r="AF50" s="676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456" t="s">
        <v>55</v>
      </c>
      <c r="C54" s="454"/>
      <c r="D54" s="455" t="s">
        <v>522</v>
      </c>
      <c r="E54" s="454"/>
      <c r="F54" s="453" t="s">
        <v>56</v>
      </c>
      <c r="G54" s="451">
        <v>1</v>
      </c>
      <c r="H54" s="452" t="s">
        <v>24</v>
      </c>
      <c r="I54" s="451">
        <v>2</v>
      </c>
      <c r="J54" s="524">
        <v>0</v>
      </c>
      <c r="K54" s="524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74" t="s">
        <v>529</v>
      </c>
      <c r="X54" s="674"/>
      <c r="Y54" s="674"/>
      <c r="Z54" s="523"/>
      <c r="AA54" s="523"/>
      <c r="AB54" s="523" t="s">
        <v>529</v>
      </c>
      <c r="AC54" s="265" t="s">
        <v>520</v>
      </c>
      <c r="AD54" s="265" t="s">
        <v>521</v>
      </c>
      <c r="AE54" s="463" t="s">
        <v>518</v>
      </c>
      <c r="AF54" s="463" t="s">
        <v>519</v>
      </c>
      <c r="AG54" s="463" t="s">
        <v>520</v>
      </c>
      <c r="AH54" s="463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449" t="s">
        <v>523</v>
      </c>
      <c r="H55" s="449"/>
      <c r="I55" s="449"/>
      <c r="J55" s="448">
        <f>SUM(J49:J54)</f>
        <v>0</v>
      </c>
      <c r="K55" s="448">
        <f>SUM(K49:K54)</f>
        <v>0</v>
      </c>
      <c r="L55" s="163"/>
      <c r="M55" s="163"/>
      <c r="N55" s="163"/>
      <c r="O55" s="266">
        <v>64</v>
      </c>
      <c r="P55" s="477" t="s">
        <v>581</v>
      </c>
      <c r="Q55" s="474"/>
      <c r="R55" s="475"/>
      <c r="S55" s="476" t="s">
        <v>522</v>
      </c>
      <c r="T55" s="475"/>
      <c r="U55" s="474"/>
      <c r="V55" s="473" t="s">
        <v>580</v>
      </c>
      <c r="W55" s="472"/>
      <c r="X55" s="471" t="s">
        <v>25</v>
      </c>
      <c r="Y55" s="469">
        <v>3</v>
      </c>
      <c r="Z55" s="470" t="s">
        <v>522</v>
      </c>
      <c r="AA55" s="469">
        <v>2</v>
      </c>
      <c r="AB55" s="468" t="s">
        <v>44</v>
      </c>
      <c r="AC55" s="467">
        <v>0</v>
      </c>
      <c r="AD55" s="467">
        <v>0</v>
      </c>
      <c r="AE55" s="467">
        <v>0</v>
      </c>
      <c r="AF55" s="467">
        <v>0</v>
      </c>
      <c r="AG55" s="467">
        <v>0</v>
      </c>
      <c r="AH55" s="467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447" t="s">
        <v>524</v>
      </c>
      <c r="H56" s="447"/>
      <c r="I56" s="447"/>
      <c r="J56" s="446">
        <f>SUM(J55:K55)</f>
        <v>0</v>
      </c>
      <c r="K56" s="446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466" t="s">
        <v>553</v>
      </c>
      <c r="AC56" s="680">
        <v>0</v>
      </c>
      <c r="AD56" s="680"/>
      <c r="AE56" s="680"/>
      <c r="AF56" s="680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465" t="s">
        <v>524</v>
      </c>
      <c r="AC57" s="675">
        <f>SUM(AC55:AF55)+AC56</f>
        <v>0</v>
      </c>
      <c r="AD57" s="675"/>
      <c r="AE57" s="675"/>
      <c r="AF57" s="675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464" t="s">
        <v>517</v>
      </c>
      <c r="H59" s="464"/>
      <c r="I59" s="464"/>
      <c r="J59" s="463" t="s">
        <v>518</v>
      </c>
      <c r="K59" s="463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462" t="s">
        <v>59</v>
      </c>
      <c r="C60" s="460"/>
      <c r="D60" s="461" t="s">
        <v>522</v>
      </c>
      <c r="E60" s="460"/>
      <c r="F60" s="459" t="s">
        <v>60</v>
      </c>
      <c r="G60" s="457">
        <v>1</v>
      </c>
      <c r="H60" s="458" t="s">
        <v>24</v>
      </c>
      <c r="I60" s="457">
        <v>2</v>
      </c>
      <c r="J60" s="448">
        <v>0</v>
      </c>
      <c r="K60" s="448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4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456" t="s">
        <v>60</v>
      </c>
      <c r="C65" s="454"/>
      <c r="D65" s="455" t="s">
        <v>522</v>
      </c>
      <c r="E65" s="454"/>
      <c r="F65" s="453" t="s">
        <v>61</v>
      </c>
      <c r="G65" s="451">
        <v>0</v>
      </c>
      <c r="H65" s="452" t="s">
        <v>24</v>
      </c>
      <c r="I65" s="451">
        <v>2</v>
      </c>
      <c r="J65" s="524">
        <v>0</v>
      </c>
      <c r="K65" s="524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449" t="s">
        <v>523</v>
      </c>
      <c r="H66" s="449"/>
      <c r="I66" s="449"/>
      <c r="J66" s="448">
        <f>SUM(J60:J65)</f>
        <v>0</v>
      </c>
      <c r="K66" s="448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447" t="s">
        <v>524</v>
      </c>
      <c r="H67" s="447"/>
      <c r="I67" s="447"/>
      <c r="J67" s="446">
        <f>SUM(J66:K66)</f>
        <v>0</v>
      </c>
      <c r="K67" s="446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464" t="s">
        <v>517</v>
      </c>
      <c r="H70" s="464"/>
      <c r="I70" s="464"/>
      <c r="J70" s="463" t="s">
        <v>518</v>
      </c>
      <c r="K70" s="463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462" t="s">
        <v>64</v>
      </c>
      <c r="C71" s="460"/>
      <c r="D71" s="461" t="s">
        <v>522</v>
      </c>
      <c r="E71" s="460"/>
      <c r="F71" s="459" t="s">
        <v>65</v>
      </c>
      <c r="G71" s="457">
        <v>3</v>
      </c>
      <c r="H71" s="458" t="s">
        <v>24</v>
      </c>
      <c r="I71" s="457">
        <v>0</v>
      </c>
      <c r="J71" s="448">
        <v>0</v>
      </c>
      <c r="K71" s="448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456" t="s">
        <v>65</v>
      </c>
      <c r="C76" s="454"/>
      <c r="D76" s="455" t="s">
        <v>522</v>
      </c>
      <c r="E76" s="454"/>
      <c r="F76" s="453" t="s">
        <v>66</v>
      </c>
      <c r="G76" s="451">
        <v>3</v>
      </c>
      <c r="H76" s="452" t="s">
        <v>24</v>
      </c>
      <c r="I76" s="451">
        <v>2</v>
      </c>
      <c r="J76" s="524">
        <v>0</v>
      </c>
      <c r="K76" s="524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449" t="s">
        <v>523</v>
      </c>
      <c r="H77" s="449"/>
      <c r="I77" s="449"/>
      <c r="J77" s="448">
        <f>SUM(J71:J76)</f>
        <v>0</v>
      </c>
      <c r="K77" s="448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447" t="s">
        <v>524</v>
      </c>
      <c r="H78" s="447"/>
      <c r="I78" s="447"/>
      <c r="J78" s="446">
        <f>SUM(J77:K77)</f>
        <v>0</v>
      </c>
      <c r="K78" s="446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464" t="s">
        <v>517</v>
      </c>
      <c r="H81" s="464"/>
      <c r="I81" s="464"/>
      <c r="J81" s="463" t="s">
        <v>518</v>
      </c>
      <c r="K81" s="463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462" t="s">
        <v>69</v>
      </c>
      <c r="C82" s="460"/>
      <c r="D82" s="461" t="s">
        <v>522</v>
      </c>
      <c r="E82" s="460"/>
      <c r="F82" s="459" t="s">
        <v>70</v>
      </c>
      <c r="G82" s="457">
        <v>3</v>
      </c>
      <c r="H82" s="458" t="s">
        <v>24</v>
      </c>
      <c r="I82" s="457">
        <v>1</v>
      </c>
      <c r="J82" s="448">
        <v>0</v>
      </c>
      <c r="K82" s="448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456" t="s">
        <v>70</v>
      </c>
      <c r="C87" s="454"/>
      <c r="D87" s="455" t="s">
        <v>522</v>
      </c>
      <c r="E87" s="454"/>
      <c r="F87" s="453" t="s">
        <v>71</v>
      </c>
      <c r="G87" s="451">
        <v>1</v>
      </c>
      <c r="H87" s="452" t="s">
        <v>24</v>
      </c>
      <c r="I87" s="451">
        <v>0</v>
      </c>
      <c r="J87" s="524">
        <v>0</v>
      </c>
      <c r="K87" s="524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449" t="s">
        <v>523</v>
      </c>
      <c r="H88" s="449"/>
      <c r="I88" s="449"/>
      <c r="J88" s="448">
        <f>SUM(J82:J87)</f>
        <v>0</v>
      </c>
      <c r="K88" s="448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447" t="s">
        <v>524</v>
      </c>
      <c r="H89" s="447"/>
      <c r="I89" s="447"/>
      <c r="J89" s="446">
        <f>SUM(J88:K88)</f>
        <v>0</v>
      </c>
      <c r="K89" s="446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464" t="s">
        <v>517</v>
      </c>
      <c r="H92" s="464"/>
      <c r="I92" s="464"/>
      <c r="J92" s="463" t="s">
        <v>518</v>
      </c>
      <c r="K92" s="463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462" t="s">
        <v>74</v>
      </c>
      <c r="C93" s="460"/>
      <c r="D93" s="461" t="s">
        <v>522</v>
      </c>
      <c r="E93" s="460"/>
      <c r="F93" s="459" t="s">
        <v>75</v>
      </c>
      <c r="G93" s="457">
        <v>3</v>
      </c>
      <c r="H93" s="458" t="s">
        <v>24</v>
      </c>
      <c r="I93" s="457">
        <v>0</v>
      </c>
      <c r="J93" s="448">
        <v>0</v>
      </c>
      <c r="K93" s="448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3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456" t="s">
        <v>75</v>
      </c>
      <c r="C98" s="454"/>
      <c r="D98" s="455" t="s">
        <v>522</v>
      </c>
      <c r="E98" s="454"/>
      <c r="F98" s="453" t="s">
        <v>76</v>
      </c>
      <c r="G98" s="451">
        <v>1</v>
      </c>
      <c r="H98" s="452" t="s">
        <v>24</v>
      </c>
      <c r="I98" s="451">
        <v>2</v>
      </c>
      <c r="J98" s="524">
        <v>0</v>
      </c>
      <c r="K98" s="524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449" t="s">
        <v>523</v>
      </c>
      <c r="H99" s="449"/>
      <c r="I99" s="449"/>
      <c r="J99" s="448">
        <f>SUM(J93:J98)</f>
        <v>0</v>
      </c>
      <c r="K99" s="448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447" t="s">
        <v>524</v>
      </c>
      <c r="H100" s="447"/>
      <c r="I100" s="447"/>
      <c r="J100" s="446">
        <f>SUM(J99:K99)</f>
        <v>0</v>
      </c>
      <c r="K100" s="446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AB2:AF2"/>
    <mergeCell ref="D8:I8"/>
    <mergeCell ref="Q8:X8"/>
    <mergeCell ref="D9:I9"/>
    <mergeCell ref="Q9:X9"/>
    <mergeCell ref="AB5:AF5"/>
    <mergeCell ref="D6:I6"/>
    <mergeCell ref="Q6:X6"/>
    <mergeCell ref="D7:I7"/>
    <mergeCell ref="Q7:X7"/>
    <mergeCell ref="AB7:AF7"/>
    <mergeCell ref="D3:I3"/>
    <mergeCell ref="D4:I4"/>
    <mergeCell ref="Q4:X4"/>
    <mergeCell ref="D5:I5"/>
    <mergeCell ref="Q5:R5"/>
    <mergeCell ref="B2:C10"/>
    <mergeCell ref="D2:I2"/>
    <mergeCell ref="P2:X3"/>
    <mergeCell ref="D10:I1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87" priority="7" stopIfTrue="1" operator="equal">
      <formula>""</formula>
    </cfRule>
  </conditionalFormatting>
  <conditionalFormatting sqref="R16:R23 T16:T23">
    <cfRule type="expression" dxfId="86" priority="6" stopIfTrue="1">
      <formula>IF(AND($Q16=$U16,$Q16&lt;&gt;"",$U16&lt;&gt;"",OR($R16="",$T16="")),1,0)=1</formula>
    </cfRule>
  </conditionalFormatting>
  <conditionalFormatting sqref="R30:R33 T30:T33">
    <cfRule type="expression" dxfId="85" priority="5" stopIfTrue="1">
      <formula>IF(AND($Q30=$U30,$Q30&lt;&gt;"",$U30&lt;&gt;"",OR($R30="",$T30="")),1,0)=1</formula>
    </cfRule>
  </conditionalFormatting>
  <conditionalFormatting sqref="R40:R41 T40:T41">
    <cfRule type="expression" dxfId="84" priority="4" stopIfTrue="1">
      <formula>IF(AND($Q40=$U40,$Q40&lt;&gt;"",$U40&lt;&gt;"",OR($R40="",$T40="")),1,0)=1</formula>
    </cfRule>
  </conditionalFormatting>
  <conditionalFormatting sqref="R48 T48">
    <cfRule type="expression" dxfId="83" priority="3" stopIfTrue="1">
      <formula>IF(AND($Q48=$U48,$Q48&lt;&gt;"",$U48&lt;&gt;"",OR($R48="",$T48="")),1,0)=1</formula>
    </cfRule>
  </conditionalFormatting>
  <conditionalFormatting sqref="R55 T55">
    <cfRule type="expression" dxfId="82" priority="2" stopIfTrue="1">
      <formula>IF(AND($Q55=$U55,$Q55&lt;&gt;"",$U55&lt;&gt;"",OR($R55="",$T55="")),1,0)=1</formula>
    </cfRule>
  </conditionalFormatting>
  <conditionalFormatting sqref="Q4:Q9 R5">
    <cfRule type="expression" dxfId="81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1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66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69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506" t="s">
        <v>498</v>
      </c>
      <c r="Q4" s="641" t="s">
        <v>653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506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506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506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506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505">
        <f>AC56</f>
        <v>0</v>
      </c>
      <c r="K9" s="164"/>
      <c r="L9" s="163"/>
      <c r="M9" s="163"/>
      <c r="N9" s="163"/>
      <c r="O9" s="163"/>
      <c r="P9" s="504" t="s">
        <v>509</v>
      </c>
      <c r="Q9" s="663"/>
      <c r="R9" s="664"/>
      <c r="S9" s="664"/>
      <c r="T9" s="664"/>
      <c r="U9" s="664"/>
      <c r="V9" s="664"/>
      <c r="W9" s="664"/>
      <c r="X9" s="665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72" t="s">
        <v>510</v>
      </c>
      <c r="E10" s="672"/>
      <c r="F10" s="672"/>
      <c r="G10" s="672"/>
      <c r="H10" s="672"/>
      <c r="I10" s="672"/>
      <c r="J10" s="503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73"/>
      <c r="C15" s="673"/>
      <c r="D15" s="673"/>
      <c r="E15" s="673"/>
      <c r="F15" s="673"/>
      <c r="G15" s="464" t="s">
        <v>517</v>
      </c>
      <c r="H15" s="464"/>
      <c r="I15" s="464"/>
      <c r="J15" s="463" t="s">
        <v>518</v>
      </c>
      <c r="K15" s="463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74" t="s">
        <v>517</v>
      </c>
      <c r="X15" s="674"/>
      <c r="Y15" s="674"/>
      <c r="Z15" s="674"/>
      <c r="AA15" s="674"/>
      <c r="AB15" s="674"/>
      <c r="AC15" s="265" t="s">
        <v>520</v>
      </c>
      <c r="AD15" s="265" t="s">
        <v>521</v>
      </c>
      <c r="AE15" s="463" t="s">
        <v>518</v>
      </c>
      <c r="AF15" s="463" t="s">
        <v>519</v>
      </c>
      <c r="AG15" s="463" t="s">
        <v>520</v>
      </c>
      <c r="AH15" s="463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462" t="s">
        <v>25</v>
      </c>
      <c r="C16" s="460"/>
      <c r="D16" s="461" t="s">
        <v>522</v>
      </c>
      <c r="E16" s="460"/>
      <c r="F16" s="459" t="s">
        <v>26</v>
      </c>
      <c r="G16" s="457">
        <v>2</v>
      </c>
      <c r="H16" s="458" t="s">
        <v>24</v>
      </c>
      <c r="I16" s="457">
        <v>0</v>
      </c>
      <c r="J16" s="448">
        <v>0</v>
      </c>
      <c r="K16" s="448">
        <v>0</v>
      </c>
      <c r="L16" s="163"/>
      <c r="M16" s="392" t="s">
        <v>108</v>
      </c>
      <c r="N16" s="391"/>
      <c r="O16" s="266">
        <v>49</v>
      </c>
      <c r="P16" s="498" t="s">
        <v>611</v>
      </c>
      <c r="Q16" s="495"/>
      <c r="R16" s="496"/>
      <c r="S16" s="497" t="s">
        <v>522</v>
      </c>
      <c r="T16" s="496"/>
      <c r="U16" s="495"/>
      <c r="V16" s="494" t="s">
        <v>610</v>
      </c>
      <c r="W16" s="493"/>
      <c r="X16" s="492" t="s">
        <v>25</v>
      </c>
      <c r="Y16" s="491">
        <v>3</v>
      </c>
      <c r="Z16" s="461" t="s">
        <v>522</v>
      </c>
      <c r="AA16" s="491">
        <v>2</v>
      </c>
      <c r="AB16" s="490" t="s">
        <v>44</v>
      </c>
      <c r="AC16" s="467">
        <v>0</v>
      </c>
      <c r="AD16" s="467">
        <v>0</v>
      </c>
      <c r="AE16" s="467">
        <v>0</v>
      </c>
      <c r="AF16" s="467">
        <v>0</v>
      </c>
      <c r="AG16" s="467">
        <v>0</v>
      </c>
      <c r="AH16" s="467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50</v>
      </c>
      <c r="Y17" s="299">
        <v>2</v>
      </c>
      <c r="Z17" s="302" t="s">
        <v>522</v>
      </c>
      <c r="AA17" s="299">
        <v>1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1</v>
      </c>
      <c r="Z19" s="302" t="s">
        <v>522</v>
      </c>
      <c r="AA19" s="299">
        <v>2</v>
      </c>
      <c r="AB19" s="300" t="s">
        <v>49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456" t="s">
        <v>28</v>
      </c>
      <c r="C21" s="454"/>
      <c r="D21" s="455" t="s">
        <v>522</v>
      </c>
      <c r="E21" s="454"/>
      <c r="F21" s="453" t="s">
        <v>25</v>
      </c>
      <c r="G21" s="451">
        <v>0</v>
      </c>
      <c r="H21" s="452" t="s">
        <v>24</v>
      </c>
      <c r="I21" s="451">
        <v>3</v>
      </c>
      <c r="J21" s="524">
        <v>0</v>
      </c>
      <c r="K21" s="524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449" t="s">
        <v>523</v>
      </c>
      <c r="H22" s="449"/>
      <c r="I22" s="449"/>
      <c r="J22" s="448">
        <f>SUM(J16:J21)</f>
        <v>0</v>
      </c>
      <c r="K22" s="448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447" t="s">
        <v>524</v>
      </c>
      <c r="H23" s="447"/>
      <c r="I23" s="447"/>
      <c r="J23" s="446">
        <f>SUM(J22:K22)</f>
        <v>0</v>
      </c>
      <c r="K23" s="446"/>
      <c r="L23" s="163"/>
      <c r="M23" s="163"/>
      <c r="N23" s="163"/>
      <c r="O23" s="266">
        <v>56</v>
      </c>
      <c r="P23" s="516" t="s">
        <v>597</v>
      </c>
      <c r="Q23" s="454"/>
      <c r="R23" s="487"/>
      <c r="S23" s="488" t="s">
        <v>522</v>
      </c>
      <c r="T23" s="487"/>
      <c r="U23" s="454"/>
      <c r="V23" s="515" t="s">
        <v>596</v>
      </c>
      <c r="W23" s="485"/>
      <c r="X23" s="484" t="s">
        <v>74</v>
      </c>
      <c r="Y23" s="483">
        <v>1</v>
      </c>
      <c r="Z23" s="455" t="s">
        <v>522</v>
      </c>
      <c r="AA23" s="483">
        <v>0</v>
      </c>
      <c r="AB23" s="482" t="s">
        <v>70</v>
      </c>
      <c r="AC23" s="525">
        <v>0</v>
      </c>
      <c r="AD23" s="525">
        <v>0</v>
      </c>
      <c r="AE23" s="525">
        <v>0</v>
      </c>
      <c r="AF23" s="525">
        <v>0</v>
      </c>
      <c r="AG23" s="525">
        <v>0</v>
      </c>
      <c r="AH23" s="525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465" t="s">
        <v>524</v>
      </c>
      <c r="AC25" s="675">
        <f>SUM(AC24:AF24)</f>
        <v>0</v>
      </c>
      <c r="AD25" s="675"/>
      <c r="AE25" s="675"/>
      <c r="AF25" s="675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73"/>
      <c r="C26" s="673"/>
      <c r="D26" s="673"/>
      <c r="E26" s="673"/>
      <c r="F26" s="673"/>
      <c r="G26" s="464" t="s">
        <v>517</v>
      </c>
      <c r="H26" s="464"/>
      <c r="I26" s="464"/>
      <c r="J26" s="463" t="s">
        <v>518</v>
      </c>
      <c r="K26" s="463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502" t="s">
        <v>43</v>
      </c>
      <c r="C27" s="460"/>
      <c r="D27" s="461" t="s">
        <v>522</v>
      </c>
      <c r="E27" s="460"/>
      <c r="F27" s="501" t="s">
        <v>44</v>
      </c>
      <c r="G27" s="457">
        <v>2</v>
      </c>
      <c r="H27" s="458" t="s">
        <v>24</v>
      </c>
      <c r="I27" s="457">
        <v>1</v>
      </c>
      <c r="J27" s="448">
        <v>0</v>
      </c>
      <c r="K27" s="448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74" t="s">
        <v>517</v>
      </c>
      <c r="X29" s="674"/>
      <c r="Y29" s="674"/>
      <c r="Z29" s="674"/>
      <c r="AA29" s="674"/>
      <c r="AB29" s="674"/>
      <c r="AC29" s="265" t="s">
        <v>520</v>
      </c>
      <c r="AD29" s="265" t="s">
        <v>521</v>
      </c>
      <c r="AE29" s="463" t="s">
        <v>518</v>
      </c>
      <c r="AF29" s="463" t="s">
        <v>519</v>
      </c>
      <c r="AG29" s="463" t="s">
        <v>520</v>
      </c>
      <c r="AH29" s="463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98" t="s">
        <v>595</v>
      </c>
      <c r="Q30" s="495"/>
      <c r="R30" s="496"/>
      <c r="S30" s="497" t="s">
        <v>522</v>
      </c>
      <c r="T30" s="496"/>
      <c r="U30" s="495"/>
      <c r="V30" s="494" t="s">
        <v>594</v>
      </c>
      <c r="W30" s="493"/>
      <c r="X30" s="492" t="s">
        <v>25</v>
      </c>
      <c r="Y30" s="491">
        <v>3</v>
      </c>
      <c r="Z30" s="461" t="s">
        <v>522</v>
      </c>
      <c r="AA30" s="491">
        <v>0</v>
      </c>
      <c r="AB30" s="490" t="s">
        <v>50</v>
      </c>
      <c r="AC30" s="467">
        <v>0</v>
      </c>
      <c r="AD30" s="467">
        <v>0</v>
      </c>
      <c r="AE30" s="467">
        <v>0</v>
      </c>
      <c r="AF30" s="467">
        <v>0</v>
      </c>
      <c r="AG30" s="467">
        <v>0</v>
      </c>
      <c r="AH30" s="467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4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3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500" t="s">
        <v>44</v>
      </c>
      <c r="C32" s="454"/>
      <c r="D32" s="455" t="s">
        <v>522</v>
      </c>
      <c r="E32" s="454"/>
      <c r="F32" s="499" t="s">
        <v>45</v>
      </c>
      <c r="G32" s="451">
        <v>1</v>
      </c>
      <c r="H32" s="452" t="s">
        <v>24</v>
      </c>
      <c r="I32" s="451">
        <v>0</v>
      </c>
      <c r="J32" s="524">
        <v>0</v>
      </c>
      <c r="K32" s="524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1</v>
      </c>
      <c r="AB32" s="300" t="s">
        <v>49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449" t="s">
        <v>523</v>
      </c>
      <c r="H33" s="449"/>
      <c r="I33" s="449"/>
      <c r="J33" s="448">
        <f>SUM(J27:J32)</f>
        <v>0</v>
      </c>
      <c r="K33" s="448">
        <f>SUM(K27:K32)</f>
        <v>0</v>
      </c>
      <c r="L33" s="163"/>
      <c r="M33" s="163"/>
      <c r="N33" s="163"/>
      <c r="O33" s="266">
        <v>60</v>
      </c>
      <c r="P33" s="516" t="s">
        <v>589</v>
      </c>
      <c r="Q33" s="454"/>
      <c r="R33" s="487"/>
      <c r="S33" s="488" t="s">
        <v>522</v>
      </c>
      <c r="T33" s="487"/>
      <c r="U33" s="454"/>
      <c r="V33" s="515" t="s">
        <v>588</v>
      </c>
      <c r="W33" s="485"/>
      <c r="X33" s="484" t="s">
        <v>64</v>
      </c>
      <c r="Y33" s="483">
        <v>2</v>
      </c>
      <c r="Z33" s="455" t="s">
        <v>522</v>
      </c>
      <c r="AA33" s="483">
        <v>1</v>
      </c>
      <c r="AB33" s="482" t="s">
        <v>74</v>
      </c>
      <c r="AC33" s="525">
        <v>0</v>
      </c>
      <c r="AD33" s="525">
        <v>0</v>
      </c>
      <c r="AE33" s="525">
        <v>0</v>
      </c>
      <c r="AF33" s="525">
        <v>0</v>
      </c>
      <c r="AG33" s="525">
        <v>0</v>
      </c>
      <c r="AH33" s="525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447" t="s">
        <v>524</v>
      </c>
      <c r="H34" s="447"/>
      <c r="I34" s="447"/>
      <c r="J34" s="446">
        <f>SUM(J33:K33)</f>
        <v>0</v>
      </c>
      <c r="K34" s="446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465" t="s">
        <v>524</v>
      </c>
      <c r="AC35" s="675">
        <f>SUM(AC34:AF34)</f>
        <v>0</v>
      </c>
      <c r="AD35" s="675"/>
      <c r="AE35" s="675"/>
      <c r="AF35" s="675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464" t="s">
        <v>517</v>
      </c>
      <c r="H37" s="464"/>
      <c r="I37" s="464"/>
      <c r="J37" s="463" t="s">
        <v>518</v>
      </c>
      <c r="K37" s="463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462" t="s">
        <v>49</v>
      </c>
      <c r="C38" s="460"/>
      <c r="D38" s="461" t="s">
        <v>522</v>
      </c>
      <c r="E38" s="460"/>
      <c r="F38" s="459" t="s">
        <v>50</v>
      </c>
      <c r="G38" s="457">
        <v>2</v>
      </c>
      <c r="H38" s="458" t="s">
        <v>24</v>
      </c>
      <c r="I38" s="457">
        <v>2</v>
      </c>
      <c r="J38" s="448">
        <v>0</v>
      </c>
      <c r="K38" s="448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0</v>
      </c>
      <c r="H39" s="291" t="s">
        <v>24</v>
      </c>
      <c r="I39" s="290">
        <v>0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74" t="s">
        <v>529</v>
      </c>
      <c r="X39" s="674"/>
      <c r="Y39" s="674"/>
      <c r="Z39" s="523"/>
      <c r="AA39" s="523"/>
      <c r="AB39" s="523" t="s">
        <v>529</v>
      </c>
      <c r="AC39" s="265" t="s">
        <v>520</v>
      </c>
      <c r="AD39" s="265" t="s">
        <v>521</v>
      </c>
      <c r="AE39" s="463" t="s">
        <v>518</v>
      </c>
      <c r="AF39" s="463" t="s">
        <v>519</v>
      </c>
      <c r="AG39" s="463" t="s">
        <v>520</v>
      </c>
      <c r="AH39" s="463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98" t="s">
        <v>587</v>
      </c>
      <c r="Q40" s="495"/>
      <c r="R40" s="496"/>
      <c r="S40" s="497" t="s">
        <v>522</v>
      </c>
      <c r="T40" s="496"/>
      <c r="U40" s="495"/>
      <c r="V40" s="494" t="s">
        <v>586</v>
      </c>
      <c r="W40" s="493"/>
      <c r="X40" s="492" t="s">
        <v>25</v>
      </c>
      <c r="Y40" s="491">
        <v>2</v>
      </c>
      <c r="Z40" s="461" t="s">
        <v>522</v>
      </c>
      <c r="AA40" s="491">
        <v>0</v>
      </c>
      <c r="AB40" s="490" t="s">
        <v>69</v>
      </c>
      <c r="AC40" s="467">
        <v>0</v>
      </c>
      <c r="AD40" s="467">
        <v>0</v>
      </c>
      <c r="AE40" s="467">
        <v>0</v>
      </c>
      <c r="AF40" s="467">
        <v>0</v>
      </c>
      <c r="AG40" s="467">
        <v>0</v>
      </c>
      <c r="AH40" s="467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16" t="s">
        <v>585</v>
      </c>
      <c r="Q41" s="454"/>
      <c r="R41" s="487"/>
      <c r="S41" s="488" t="s">
        <v>522</v>
      </c>
      <c r="T41" s="487"/>
      <c r="U41" s="454"/>
      <c r="V41" s="515" t="s">
        <v>584</v>
      </c>
      <c r="W41" s="485"/>
      <c r="X41" s="484" t="s">
        <v>43</v>
      </c>
      <c r="Y41" s="483">
        <v>1</v>
      </c>
      <c r="Z41" s="455" t="s">
        <v>522</v>
      </c>
      <c r="AA41" s="483">
        <v>0</v>
      </c>
      <c r="AB41" s="482" t="s">
        <v>64</v>
      </c>
      <c r="AC41" s="525">
        <v>0</v>
      </c>
      <c r="AD41" s="525">
        <v>0</v>
      </c>
      <c r="AE41" s="525">
        <v>0</v>
      </c>
      <c r="AF41" s="525">
        <v>0</v>
      </c>
      <c r="AG41" s="525">
        <v>0</v>
      </c>
      <c r="AH41" s="525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456" t="s">
        <v>50</v>
      </c>
      <c r="C43" s="454"/>
      <c r="D43" s="455" t="s">
        <v>522</v>
      </c>
      <c r="E43" s="454"/>
      <c r="F43" s="453" t="s">
        <v>51</v>
      </c>
      <c r="G43" s="451">
        <v>2</v>
      </c>
      <c r="H43" s="452" t="s">
        <v>24</v>
      </c>
      <c r="I43" s="451">
        <v>2</v>
      </c>
      <c r="J43" s="524">
        <v>0</v>
      </c>
      <c r="K43" s="524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465" t="s">
        <v>524</v>
      </c>
      <c r="AC43" s="675">
        <f>SUM(AC42:AF42)</f>
        <v>0</v>
      </c>
      <c r="AD43" s="675"/>
      <c r="AE43" s="675"/>
      <c r="AF43" s="675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449" t="s">
        <v>523</v>
      </c>
      <c r="H44" s="449"/>
      <c r="I44" s="449"/>
      <c r="J44" s="448">
        <f>SUM(J38:J43)</f>
        <v>0</v>
      </c>
      <c r="K44" s="448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447" t="s">
        <v>524</v>
      </c>
      <c r="H45" s="447"/>
      <c r="I45" s="447"/>
      <c r="J45" s="446">
        <f>SUM(J44:K44)</f>
        <v>0</v>
      </c>
      <c r="K45" s="446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74" t="s">
        <v>529</v>
      </c>
      <c r="X47" s="674"/>
      <c r="Y47" s="674"/>
      <c r="Z47" s="523"/>
      <c r="AA47" s="523"/>
      <c r="AB47" s="523" t="s">
        <v>529</v>
      </c>
      <c r="AC47" s="265"/>
      <c r="AD47" s="265"/>
      <c r="AE47" s="463" t="s">
        <v>518</v>
      </c>
      <c r="AF47" s="463" t="s">
        <v>519</v>
      </c>
      <c r="AG47" s="463" t="s">
        <v>520</v>
      </c>
      <c r="AH47" s="463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464" t="s">
        <v>517</v>
      </c>
      <c r="H48" s="464"/>
      <c r="I48" s="464"/>
      <c r="J48" s="463" t="s">
        <v>518</v>
      </c>
      <c r="K48" s="463" t="s">
        <v>519</v>
      </c>
      <c r="L48" s="163"/>
      <c r="M48" s="263" t="s">
        <v>476</v>
      </c>
      <c r="N48" s="264"/>
      <c r="O48" s="266">
        <v>63</v>
      </c>
      <c r="P48" s="477" t="s">
        <v>583</v>
      </c>
      <c r="Q48" s="474"/>
      <c r="R48" s="475"/>
      <c r="S48" s="476" t="s">
        <v>522</v>
      </c>
      <c r="T48" s="475"/>
      <c r="U48" s="474"/>
      <c r="V48" s="473" t="s">
        <v>582</v>
      </c>
      <c r="W48" s="472"/>
      <c r="X48" s="471" t="s">
        <v>69</v>
      </c>
      <c r="Y48" s="469">
        <v>1</v>
      </c>
      <c r="Z48" s="470" t="s">
        <v>522</v>
      </c>
      <c r="AA48" s="469">
        <v>0</v>
      </c>
      <c r="AB48" s="468" t="s">
        <v>64</v>
      </c>
      <c r="AC48" s="480"/>
      <c r="AD48" s="480"/>
      <c r="AE48" s="480">
        <v>0</v>
      </c>
      <c r="AF48" s="480">
        <v>0</v>
      </c>
      <c r="AG48" s="480">
        <v>0</v>
      </c>
      <c r="AH48" s="480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462" t="s">
        <v>54</v>
      </c>
      <c r="C49" s="460"/>
      <c r="D49" s="461" t="s">
        <v>522</v>
      </c>
      <c r="E49" s="460"/>
      <c r="F49" s="459" t="s">
        <v>55</v>
      </c>
      <c r="G49" s="457">
        <v>3</v>
      </c>
      <c r="H49" s="458" t="s">
        <v>24</v>
      </c>
      <c r="I49" s="457">
        <v>1</v>
      </c>
      <c r="J49" s="448">
        <v>0</v>
      </c>
      <c r="K49" s="448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479" t="s">
        <v>524</v>
      </c>
      <c r="AC49" s="675">
        <f>SUM(AC48:AF48)</f>
        <v>0</v>
      </c>
      <c r="AD49" s="675"/>
      <c r="AE49" s="675"/>
      <c r="AF49" s="675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0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76"/>
      <c r="AD50" s="676"/>
      <c r="AE50" s="676"/>
      <c r="AF50" s="676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456" t="s">
        <v>55</v>
      </c>
      <c r="C54" s="454"/>
      <c r="D54" s="455" t="s">
        <v>522</v>
      </c>
      <c r="E54" s="454"/>
      <c r="F54" s="453" t="s">
        <v>56</v>
      </c>
      <c r="G54" s="451">
        <v>1</v>
      </c>
      <c r="H54" s="452" t="s">
        <v>24</v>
      </c>
      <c r="I54" s="451">
        <v>2</v>
      </c>
      <c r="J54" s="524">
        <v>0</v>
      </c>
      <c r="K54" s="524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74" t="s">
        <v>529</v>
      </c>
      <c r="X54" s="674"/>
      <c r="Y54" s="674"/>
      <c r="Z54" s="523"/>
      <c r="AA54" s="523"/>
      <c r="AB54" s="523" t="s">
        <v>529</v>
      </c>
      <c r="AC54" s="265" t="s">
        <v>520</v>
      </c>
      <c r="AD54" s="265" t="s">
        <v>521</v>
      </c>
      <c r="AE54" s="463" t="s">
        <v>518</v>
      </c>
      <c r="AF54" s="463" t="s">
        <v>519</v>
      </c>
      <c r="AG54" s="463" t="s">
        <v>520</v>
      </c>
      <c r="AH54" s="463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449" t="s">
        <v>523</v>
      </c>
      <c r="H55" s="449"/>
      <c r="I55" s="449"/>
      <c r="J55" s="448">
        <f>SUM(J49:J54)</f>
        <v>0</v>
      </c>
      <c r="K55" s="448">
        <f>SUM(K49:K54)</f>
        <v>0</v>
      </c>
      <c r="L55" s="163"/>
      <c r="M55" s="163"/>
      <c r="N55" s="163"/>
      <c r="O55" s="266">
        <v>64</v>
      </c>
      <c r="P55" s="477" t="s">
        <v>581</v>
      </c>
      <c r="Q55" s="474"/>
      <c r="R55" s="475"/>
      <c r="S55" s="476" t="s">
        <v>522</v>
      </c>
      <c r="T55" s="475"/>
      <c r="U55" s="474"/>
      <c r="V55" s="473" t="s">
        <v>580</v>
      </c>
      <c r="W55" s="472"/>
      <c r="X55" s="471" t="s">
        <v>25</v>
      </c>
      <c r="Y55" s="469">
        <v>3</v>
      </c>
      <c r="Z55" s="470" t="s">
        <v>522</v>
      </c>
      <c r="AA55" s="469">
        <v>2</v>
      </c>
      <c r="AB55" s="468" t="s">
        <v>43</v>
      </c>
      <c r="AC55" s="467">
        <v>0</v>
      </c>
      <c r="AD55" s="467">
        <v>0</v>
      </c>
      <c r="AE55" s="467">
        <v>0</v>
      </c>
      <c r="AF55" s="467">
        <v>0</v>
      </c>
      <c r="AG55" s="467">
        <v>0</v>
      </c>
      <c r="AH55" s="467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447" t="s">
        <v>524</v>
      </c>
      <c r="H56" s="447"/>
      <c r="I56" s="447"/>
      <c r="J56" s="446">
        <f>SUM(J55:K55)</f>
        <v>0</v>
      </c>
      <c r="K56" s="446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466" t="s">
        <v>553</v>
      </c>
      <c r="AC56" s="680">
        <v>0</v>
      </c>
      <c r="AD56" s="680"/>
      <c r="AE56" s="680"/>
      <c r="AF56" s="680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465" t="s">
        <v>524</v>
      </c>
      <c r="AC57" s="675">
        <f>SUM(AC55:AF55)+AC56</f>
        <v>0</v>
      </c>
      <c r="AD57" s="675"/>
      <c r="AE57" s="675"/>
      <c r="AF57" s="675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464" t="s">
        <v>517</v>
      </c>
      <c r="H59" s="464"/>
      <c r="I59" s="464"/>
      <c r="J59" s="463" t="s">
        <v>518</v>
      </c>
      <c r="K59" s="463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462" t="s">
        <v>59</v>
      </c>
      <c r="C60" s="460"/>
      <c r="D60" s="461" t="s">
        <v>522</v>
      </c>
      <c r="E60" s="460"/>
      <c r="F60" s="459" t="s">
        <v>60</v>
      </c>
      <c r="G60" s="457">
        <v>1</v>
      </c>
      <c r="H60" s="458" t="s">
        <v>24</v>
      </c>
      <c r="I60" s="457">
        <v>2</v>
      </c>
      <c r="J60" s="448">
        <v>0</v>
      </c>
      <c r="K60" s="448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4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456" t="s">
        <v>60</v>
      </c>
      <c r="C65" s="454"/>
      <c r="D65" s="455" t="s">
        <v>522</v>
      </c>
      <c r="E65" s="454"/>
      <c r="F65" s="453" t="s">
        <v>61</v>
      </c>
      <c r="G65" s="451">
        <v>0</v>
      </c>
      <c r="H65" s="452" t="s">
        <v>24</v>
      </c>
      <c r="I65" s="451">
        <v>2</v>
      </c>
      <c r="J65" s="524">
        <v>0</v>
      </c>
      <c r="K65" s="524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449" t="s">
        <v>523</v>
      </c>
      <c r="H66" s="449"/>
      <c r="I66" s="449"/>
      <c r="J66" s="448">
        <f>SUM(J60:J65)</f>
        <v>0</v>
      </c>
      <c r="K66" s="448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447" t="s">
        <v>524</v>
      </c>
      <c r="H67" s="447"/>
      <c r="I67" s="447"/>
      <c r="J67" s="446">
        <f>SUM(J66:K66)</f>
        <v>0</v>
      </c>
      <c r="K67" s="446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464" t="s">
        <v>517</v>
      </c>
      <c r="H70" s="464"/>
      <c r="I70" s="464"/>
      <c r="J70" s="463" t="s">
        <v>518</v>
      </c>
      <c r="K70" s="463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462" t="s">
        <v>64</v>
      </c>
      <c r="C71" s="460"/>
      <c r="D71" s="461" t="s">
        <v>522</v>
      </c>
      <c r="E71" s="460"/>
      <c r="F71" s="459" t="s">
        <v>65</v>
      </c>
      <c r="G71" s="457">
        <v>3</v>
      </c>
      <c r="H71" s="458" t="s">
        <v>24</v>
      </c>
      <c r="I71" s="457">
        <v>0</v>
      </c>
      <c r="J71" s="448">
        <v>0</v>
      </c>
      <c r="K71" s="448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456" t="s">
        <v>65</v>
      </c>
      <c r="C76" s="454"/>
      <c r="D76" s="455" t="s">
        <v>522</v>
      </c>
      <c r="E76" s="454"/>
      <c r="F76" s="453" t="s">
        <v>66</v>
      </c>
      <c r="G76" s="451">
        <v>3</v>
      </c>
      <c r="H76" s="452" t="s">
        <v>24</v>
      </c>
      <c r="I76" s="451">
        <v>2</v>
      </c>
      <c r="J76" s="524">
        <v>0</v>
      </c>
      <c r="K76" s="524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449" t="s">
        <v>523</v>
      </c>
      <c r="H77" s="449"/>
      <c r="I77" s="449"/>
      <c r="J77" s="448">
        <f>SUM(J71:J76)</f>
        <v>0</v>
      </c>
      <c r="K77" s="448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447" t="s">
        <v>524</v>
      </c>
      <c r="H78" s="447"/>
      <c r="I78" s="447"/>
      <c r="J78" s="446">
        <f>SUM(J77:K77)</f>
        <v>0</v>
      </c>
      <c r="K78" s="446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464" t="s">
        <v>517</v>
      </c>
      <c r="H81" s="464"/>
      <c r="I81" s="464"/>
      <c r="J81" s="463" t="s">
        <v>518</v>
      </c>
      <c r="K81" s="463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462" t="s">
        <v>69</v>
      </c>
      <c r="C82" s="460"/>
      <c r="D82" s="461" t="s">
        <v>522</v>
      </c>
      <c r="E82" s="460"/>
      <c r="F82" s="459" t="s">
        <v>70</v>
      </c>
      <c r="G82" s="457">
        <v>3</v>
      </c>
      <c r="H82" s="458" t="s">
        <v>24</v>
      </c>
      <c r="I82" s="457">
        <v>1</v>
      </c>
      <c r="J82" s="448">
        <v>0</v>
      </c>
      <c r="K82" s="448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456" t="s">
        <v>70</v>
      </c>
      <c r="C87" s="454"/>
      <c r="D87" s="455" t="s">
        <v>522</v>
      </c>
      <c r="E87" s="454"/>
      <c r="F87" s="453" t="s">
        <v>71</v>
      </c>
      <c r="G87" s="451">
        <v>1</v>
      </c>
      <c r="H87" s="452" t="s">
        <v>24</v>
      </c>
      <c r="I87" s="451">
        <v>0</v>
      </c>
      <c r="J87" s="524">
        <v>0</v>
      </c>
      <c r="K87" s="524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449" t="s">
        <v>523</v>
      </c>
      <c r="H88" s="449"/>
      <c r="I88" s="449"/>
      <c r="J88" s="448">
        <f>SUM(J82:J87)</f>
        <v>0</v>
      </c>
      <c r="K88" s="448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447" t="s">
        <v>524</v>
      </c>
      <c r="H89" s="447"/>
      <c r="I89" s="447"/>
      <c r="J89" s="446">
        <f>SUM(J88:K88)</f>
        <v>0</v>
      </c>
      <c r="K89" s="446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464" t="s">
        <v>517</v>
      </c>
      <c r="H92" s="464"/>
      <c r="I92" s="464"/>
      <c r="J92" s="463" t="s">
        <v>518</v>
      </c>
      <c r="K92" s="463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462" t="s">
        <v>74</v>
      </c>
      <c r="C93" s="460"/>
      <c r="D93" s="461" t="s">
        <v>522</v>
      </c>
      <c r="E93" s="460"/>
      <c r="F93" s="459" t="s">
        <v>75</v>
      </c>
      <c r="G93" s="457">
        <v>3</v>
      </c>
      <c r="H93" s="458" t="s">
        <v>24</v>
      </c>
      <c r="I93" s="457">
        <v>0</v>
      </c>
      <c r="J93" s="448">
        <v>0</v>
      </c>
      <c r="K93" s="448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3</v>
      </c>
      <c r="H95" s="291" t="s">
        <v>24</v>
      </c>
      <c r="I95" s="290">
        <v>0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456" t="s">
        <v>75</v>
      </c>
      <c r="C98" s="454"/>
      <c r="D98" s="455" t="s">
        <v>522</v>
      </c>
      <c r="E98" s="454"/>
      <c r="F98" s="453" t="s">
        <v>76</v>
      </c>
      <c r="G98" s="451">
        <v>1</v>
      </c>
      <c r="H98" s="452" t="s">
        <v>24</v>
      </c>
      <c r="I98" s="451">
        <v>2</v>
      </c>
      <c r="J98" s="524">
        <v>0</v>
      </c>
      <c r="K98" s="524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449" t="s">
        <v>523</v>
      </c>
      <c r="H99" s="449"/>
      <c r="I99" s="449"/>
      <c r="J99" s="448">
        <f>SUM(J93:J98)</f>
        <v>0</v>
      </c>
      <c r="K99" s="448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447" t="s">
        <v>524</v>
      </c>
      <c r="H100" s="447"/>
      <c r="I100" s="447"/>
      <c r="J100" s="446">
        <f>SUM(J99:K99)</f>
        <v>0</v>
      </c>
      <c r="K100" s="446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AB2:AF2"/>
    <mergeCell ref="D8:I8"/>
    <mergeCell ref="Q8:X8"/>
    <mergeCell ref="D9:I9"/>
    <mergeCell ref="Q9:X9"/>
    <mergeCell ref="AB5:AF5"/>
    <mergeCell ref="D6:I6"/>
    <mergeCell ref="Q6:X6"/>
    <mergeCell ref="D7:I7"/>
    <mergeCell ref="Q7:X7"/>
    <mergeCell ref="AB7:AF7"/>
    <mergeCell ref="D3:I3"/>
    <mergeCell ref="D4:I4"/>
    <mergeCell ref="Q4:X4"/>
    <mergeCell ref="D5:I5"/>
    <mergeCell ref="Q5:R5"/>
    <mergeCell ref="B2:C10"/>
    <mergeCell ref="D2:I2"/>
    <mergeCell ref="P2:X3"/>
    <mergeCell ref="D10:I1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80" priority="7" stopIfTrue="1" operator="equal">
      <formula>""</formula>
    </cfRule>
  </conditionalFormatting>
  <conditionalFormatting sqref="R16:R23 T16:T23">
    <cfRule type="expression" dxfId="79" priority="6" stopIfTrue="1">
      <formula>IF(AND($Q16=$U16,$Q16&lt;&gt;"",$U16&lt;&gt;"",OR($R16="",$T16="")),1,0)=1</formula>
    </cfRule>
  </conditionalFormatting>
  <conditionalFormatting sqref="R30:R33 T30:T33">
    <cfRule type="expression" dxfId="78" priority="5" stopIfTrue="1">
      <formula>IF(AND($Q30=$U30,$Q30&lt;&gt;"",$U30&lt;&gt;"",OR($R30="",$T30="")),1,0)=1</formula>
    </cfRule>
  </conditionalFormatting>
  <conditionalFormatting sqref="R40:R41 T40:T41">
    <cfRule type="expression" dxfId="77" priority="4" stopIfTrue="1">
      <formula>IF(AND($Q40=$U40,$Q40&lt;&gt;"",$U40&lt;&gt;"",OR($R40="",$T40="")),1,0)=1</formula>
    </cfRule>
  </conditionalFormatting>
  <conditionalFormatting sqref="R48 T48">
    <cfRule type="expression" dxfId="76" priority="3" stopIfTrue="1">
      <formula>IF(AND($Q48=$U48,$Q48&lt;&gt;"",$U48&lt;&gt;"",OR($R48="",$T48="")),1,0)=1</formula>
    </cfRule>
  </conditionalFormatting>
  <conditionalFormatting sqref="R55 T55">
    <cfRule type="expression" dxfId="75" priority="2" stopIfTrue="1">
      <formula>IF(AND($Q55=$U55,$Q55&lt;&gt;"",$U55&lt;&gt;"",OR($R55="",$T55="")),1,0)=1</formula>
    </cfRule>
  </conditionalFormatting>
  <conditionalFormatting sqref="Q4:Q9 R5">
    <cfRule type="expression" dxfId="74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2"/>
  <dimension ref="A1:BA152"/>
  <sheetViews>
    <sheetView workbookViewId="0">
      <selection activeCell="Z11" sqref="Z11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655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86" t="s">
        <v>654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505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1</v>
      </c>
      <c r="AB17" s="300" t="s">
        <v>54</v>
      </c>
      <c r="AC17" s="517">
        <v>0</v>
      </c>
      <c r="AD17" s="517">
        <v>0</v>
      </c>
      <c r="AE17" s="517">
        <v>0</v>
      </c>
      <c r="AF17" s="517">
        <v>0</v>
      </c>
      <c r="AG17" s="517">
        <v>3</v>
      </c>
      <c r="AH17" s="517">
        <v>2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3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0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3</v>
      </c>
      <c r="J21" s="521">
        <v>0</v>
      </c>
      <c r="K21" s="521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74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76</v>
      </c>
      <c r="Y23" s="319">
        <v>2</v>
      </c>
      <c r="Z23" s="305" t="s">
        <v>522</v>
      </c>
      <c r="AA23" s="319">
        <v>1</v>
      </c>
      <c r="AB23" s="321" t="s">
        <v>70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4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0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521">
        <v>0</v>
      </c>
      <c r="K32" s="521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2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4</v>
      </c>
      <c r="AH32" s="517">
        <v>3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1</v>
      </c>
      <c r="Z33" s="305" t="s">
        <v>522</v>
      </c>
      <c r="AA33" s="319">
        <v>1</v>
      </c>
      <c r="AB33" s="321" t="s">
        <v>76</v>
      </c>
      <c r="AC33" s="528">
        <v>0</v>
      </c>
      <c r="AD33" s="528">
        <v>0</v>
      </c>
      <c r="AE33" s="528">
        <v>0</v>
      </c>
      <c r="AF33" s="528">
        <v>0</v>
      </c>
      <c r="AG33" s="528">
        <v>3</v>
      </c>
      <c r="AH33" s="528">
        <v>2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1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22"/>
      <c r="AA39" s="522"/>
      <c r="AB39" s="5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2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1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2</v>
      </c>
      <c r="AH41" s="528">
        <v>3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2</v>
      </c>
      <c r="J43" s="521">
        <v>0</v>
      </c>
      <c r="K43" s="521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22"/>
      <c r="AA47" s="522"/>
      <c r="AB47" s="5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25</v>
      </c>
      <c r="Y48" s="341">
        <v>3</v>
      </c>
      <c r="Z48" s="400" t="s">
        <v>522</v>
      </c>
      <c r="AA48" s="341">
        <v>1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2</v>
      </c>
      <c r="J54" s="521">
        <v>0</v>
      </c>
      <c r="K54" s="521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22"/>
      <c r="AA54" s="522"/>
      <c r="AB54" s="5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69</v>
      </c>
      <c r="Y55" s="341">
        <v>1</v>
      </c>
      <c r="Z55" s="400" t="s">
        <v>522</v>
      </c>
      <c r="AA55" s="341">
        <v>2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2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572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1</v>
      </c>
      <c r="J65" s="521">
        <v>0</v>
      </c>
      <c r="K65" s="521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2</v>
      </c>
      <c r="H72" s="291" t="s">
        <v>24</v>
      </c>
      <c r="I72" s="290">
        <v>3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2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521">
        <v>0</v>
      </c>
      <c r="K76" s="521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0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1</v>
      </c>
      <c r="J87" s="521">
        <v>0</v>
      </c>
      <c r="K87" s="521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3</v>
      </c>
      <c r="J98" s="521">
        <v>0</v>
      </c>
      <c r="K98" s="521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B5:AF5"/>
    <mergeCell ref="D3:I3"/>
    <mergeCell ref="D4:I4"/>
    <mergeCell ref="Q4:X4"/>
    <mergeCell ref="D5:I5"/>
    <mergeCell ref="Q5:R5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B47:F48"/>
    <mergeCell ref="W47:Y47"/>
    <mergeCell ref="AC35:AF35"/>
    <mergeCell ref="B36:F37"/>
    <mergeCell ref="P38:V39"/>
    <mergeCell ref="W38:AB38"/>
    <mergeCell ref="AC38:AF38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60:C65 E60:E65 C71:C76 E71:E76 C82:C87 E82:E87 C93:C98 E93:E98 Q16:Q23 U16:U23 Q30:Q33 U30:U33 Q40:Q41 U40:U41 Q48 U48 U55 Q55">
    <cfRule type="cellIs" dxfId="73" priority="12" stopIfTrue="1" operator="equal">
      <formula>""</formula>
    </cfRule>
  </conditionalFormatting>
  <conditionalFormatting sqref="R16:R23 T16:T23">
    <cfRule type="expression" dxfId="72" priority="11" stopIfTrue="1">
      <formula>IF(AND($Q16=$U16,$Q16&lt;&gt;"",$U16&lt;&gt;"",OR($R16="",$T16="")),1,0)=1</formula>
    </cfRule>
  </conditionalFormatting>
  <conditionalFormatting sqref="R30:R33 T30:T33">
    <cfRule type="expression" dxfId="71" priority="10" stopIfTrue="1">
      <formula>IF(AND($Q30=$U30,$Q30&lt;&gt;"",$U30&lt;&gt;"",OR($R30="",$T30="")),1,0)=1</formula>
    </cfRule>
  </conditionalFormatting>
  <conditionalFormatting sqref="R40:R41 T40:T41">
    <cfRule type="expression" dxfId="70" priority="9" stopIfTrue="1">
      <formula>IF(AND($Q40=$U40,$Q40&lt;&gt;"",$U40&lt;&gt;"",OR($R40="",$T40="")),1,0)=1</formula>
    </cfRule>
  </conditionalFormatting>
  <conditionalFormatting sqref="R48 T48">
    <cfRule type="expression" dxfId="69" priority="8" stopIfTrue="1">
      <formula>IF(AND($Q48=$U48,$Q48&lt;&gt;"",$U48&lt;&gt;"",OR($R48="",$T48="")),1,0)=1</formula>
    </cfRule>
  </conditionalFormatting>
  <conditionalFormatting sqref="R55 T55">
    <cfRule type="expression" dxfId="68" priority="7" stopIfTrue="1">
      <formula>IF(AND($Q55=$U55,$Q55&lt;&gt;"",$U55&lt;&gt;"",OR($R55="",$T55="")),1,0)=1</formula>
    </cfRule>
  </conditionalFormatting>
  <conditionalFormatting sqref="Q4:Q9 R5">
    <cfRule type="expression" dxfId="67" priority="6" stopIfTrue="1">
      <formula>IF($Q4="",1,0)=1</formula>
    </cfRule>
  </conditionalFormatting>
  <conditionalFormatting sqref="C27:C32 E27:E32">
    <cfRule type="cellIs" dxfId="66" priority="5" stopIfTrue="1" operator="equal">
      <formula>""</formula>
    </cfRule>
  </conditionalFormatting>
  <conditionalFormatting sqref="C49:C54">
    <cfRule type="cellIs" dxfId="65" priority="4" stopIfTrue="1" operator="equal">
      <formula>""</formula>
    </cfRule>
  </conditionalFormatting>
  <conditionalFormatting sqref="E38:E43">
    <cfRule type="cellIs" dxfId="64" priority="3" stopIfTrue="1" operator="equal">
      <formula>""</formula>
    </cfRule>
  </conditionalFormatting>
  <conditionalFormatting sqref="E49:E54">
    <cfRule type="cellIs" dxfId="63" priority="2" stopIfTrue="1" operator="equal">
      <formula>""</formula>
    </cfRule>
  </conditionalFormatting>
  <conditionalFormatting sqref="C38:C43">
    <cfRule type="cellIs" dxfId="62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Q8" r:id="rId1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3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68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84"/>
      <c r="R3" s="684"/>
      <c r="S3" s="684"/>
      <c r="T3" s="684"/>
      <c r="U3" s="684"/>
      <c r="V3" s="684"/>
      <c r="W3" s="684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657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86" t="s">
        <v>656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505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0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1</v>
      </c>
      <c r="AB17" s="300" t="s">
        <v>54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3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0</v>
      </c>
      <c r="AB19" s="300" t="s">
        <v>52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3</v>
      </c>
      <c r="J21" s="521">
        <v>0</v>
      </c>
      <c r="K21" s="521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2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2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0</v>
      </c>
      <c r="AB23" s="321" t="s">
        <v>72</v>
      </c>
      <c r="AC23" s="528">
        <v>0</v>
      </c>
      <c r="AD23" s="528">
        <v>0</v>
      </c>
      <c r="AE23" s="528">
        <v>0</v>
      </c>
      <c r="AF23" s="528">
        <v>0</v>
      </c>
      <c r="AG23" s="528">
        <v>0</v>
      </c>
      <c r="AH23" s="528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0</v>
      </c>
      <c r="AB30" s="284" t="s">
        <v>54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3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2</v>
      </c>
      <c r="J32" s="521">
        <v>0</v>
      </c>
      <c r="K32" s="521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0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2</v>
      </c>
      <c r="Z33" s="305" t="s">
        <v>522</v>
      </c>
      <c r="AA33" s="319">
        <v>2</v>
      </c>
      <c r="AB33" s="321" t="s">
        <v>74</v>
      </c>
      <c r="AC33" s="528">
        <v>0</v>
      </c>
      <c r="AD33" s="528">
        <v>0</v>
      </c>
      <c r="AE33" s="528">
        <v>0</v>
      </c>
      <c r="AF33" s="528">
        <v>0</v>
      </c>
      <c r="AG33" s="528">
        <v>5</v>
      </c>
      <c r="AH33" s="528">
        <v>4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22"/>
      <c r="AA39" s="522"/>
      <c r="AB39" s="52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2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6</v>
      </c>
      <c r="AH40" s="285">
        <v>5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64</v>
      </c>
      <c r="AC41" s="528">
        <v>0</v>
      </c>
      <c r="AD41" s="528">
        <v>0</v>
      </c>
      <c r="AE41" s="528">
        <v>0</v>
      </c>
      <c r="AF41" s="528">
        <v>0</v>
      </c>
      <c r="AG41" s="528">
        <v>0</v>
      </c>
      <c r="AH41" s="528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1</v>
      </c>
      <c r="J43" s="521">
        <v>0</v>
      </c>
      <c r="K43" s="521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22"/>
      <c r="AA47" s="522"/>
      <c r="AB47" s="52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1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0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0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2</v>
      </c>
      <c r="J54" s="521">
        <v>0</v>
      </c>
      <c r="K54" s="521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22"/>
      <c r="AA54" s="522"/>
      <c r="AB54" s="52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3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0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2</v>
      </c>
      <c r="H65" s="308" t="s">
        <v>24</v>
      </c>
      <c r="I65" s="307">
        <v>3</v>
      </c>
      <c r="J65" s="521">
        <v>0</v>
      </c>
      <c r="K65" s="521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0</v>
      </c>
      <c r="H76" s="308" t="s">
        <v>24</v>
      </c>
      <c r="I76" s="307">
        <v>0</v>
      </c>
      <c r="J76" s="521">
        <v>0</v>
      </c>
      <c r="K76" s="521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3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0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2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0</v>
      </c>
      <c r="J87" s="521">
        <v>0</v>
      </c>
      <c r="K87" s="521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521">
        <v>0</v>
      </c>
      <c r="K98" s="521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B5:AF5"/>
    <mergeCell ref="D3:I3"/>
    <mergeCell ref="D4:I4"/>
    <mergeCell ref="Q4:X4"/>
    <mergeCell ref="D5:I5"/>
    <mergeCell ref="Q5:R5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B47:F48"/>
    <mergeCell ref="W47:Y47"/>
    <mergeCell ref="AC35:AF35"/>
    <mergeCell ref="B36:F37"/>
    <mergeCell ref="P38:V39"/>
    <mergeCell ref="W38:AB38"/>
    <mergeCell ref="AC38:AF38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60:C65 E60:E65 C71:C76 E71:E76 C82:C87 E82:E87 C93:C98 E93:E98 Q16:Q23 U16:U23 Q30:Q33 U30:U33 Q40:Q41 U40:U41 Q48 U48 U55 Q55">
    <cfRule type="cellIs" dxfId="61" priority="12" stopIfTrue="1" operator="equal">
      <formula>""</formula>
    </cfRule>
  </conditionalFormatting>
  <conditionalFormatting sqref="R16:R23 T16:T23">
    <cfRule type="expression" dxfId="60" priority="11" stopIfTrue="1">
      <formula>IF(AND($Q16=$U16,$Q16&lt;&gt;"",$U16&lt;&gt;"",OR($R16="",$T16="")),1,0)=1</formula>
    </cfRule>
  </conditionalFormatting>
  <conditionalFormatting sqref="R30:R33 T30:T33">
    <cfRule type="expression" dxfId="59" priority="10" stopIfTrue="1">
      <formula>IF(AND($Q30=$U30,$Q30&lt;&gt;"",$U30&lt;&gt;"",OR($R30="",$T30="")),1,0)=1</formula>
    </cfRule>
  </conditionalFormatting>
  <conditionalFormatting sqref="R40:R41 T40:T41">
    <cfRule type="expression" dxfId="58" priority="9" stopIfTrue="1">
      <formula>IF(AND($Q40=$U40,$Q40&lt;&gt;"",$U40&lt;&gt;"",OR($R40="",$T40="")),1,0)=1</formula>
    </cfRule>
  </conditionalFormatting>
  <conditionalFormatting sqref="R48 T48">
    <cfRule type="expression" dxfId="57" priority="8" stopIfTrue="1">
      <formula>IF(AND($Q48=$U48,$Q48&lt;&gt;"",$U48&lt;&gt;"",OR($R48="",$T48="")),1,0)=1</formula>
    </cfRule>
  </conditionalFormatting>
  <conditionalFormatting sqref="R55 T55">
    <cfRule type="expression" dxfId="56" priority="7" stopIfTrue="1">
      <formula>IF(AND($Q55=$U55,$Q55&lt;&gt;"",$U55&lt;&gt;"",OR($R55="",$T55="")),1,0)=1</formula>
    </cfRule>
  </conditionalFormatting>
  <conditionalFormatting sqref="Q4:Q9 R5">
    <cfRule type="expression" dxfId="55" priority="6" stopIfTrue="1">
      <formula>IF($Q4="",1,0)=1</formula>
    </cfRule>
  </conditionalFormatting>
  <conditionalFormatting sqref="C27:C32 E27:E32">
    <cfRule type="cellIs" dxfId="54" priority="5" stopIfTrue="1" operator="equal">
      <formula>""</formula>
    </cfRule>
  </conditionalFormatting>
  <conditionalFormatting sqref="C49:C54">
    <cfRule type="cellIs" dxfId="53" priority="4" stopIfTrue="1" operator="equal">
      <formula>""</formula>
    </cfRule>
  </conditionalFormatting>
  <conditionalFormatting sqref="E38:E43">
    <cfRule type="cellIs" dxfId="52" priority="3" stopIfTrue="1" operator="equal">
      <formula>""</formula>
    </cfRule>
  </conditionalFormatting>
  <conditionalFormatting sqref="E49:E54">
    <cfRule type="cellIs" dxfId="51" priority="2" stopIfTrue="1" operator="equal">
      <formula>""</formula>
    </cfRule>
  </conditionalFormatting>
  <conditionalFormatting sqref="C38:C43">
    <cfRule type="cellIs" dxfId="50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Q8" r:id="rId1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4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69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658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0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2</v>
      </c>
      <c r="Z17" s="302" t="s">
        <v>522</v>
      </c>
      <c r="AA17" s="299">
        <v>1</v>
      </c>
      <c r="AB17" s="300" t="s">
        <v>56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2</v>
      </c>
      <c r="Z18" s="302" t="s">
        <v>522</v>
      </c>
      <c r="AA18" s="299">
        <v>1</v>
      </c>
      <c r="AB18" s="300" t="s">
        <v>27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0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0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60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3</v>
      </c>
      <c r="J21" s="533">
        <v>0</v>
      </c>
      <c r="K21" s="533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77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61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0</v>
      </c>
      <c r="Z23" s="305" t="s">
        <v>522</v>
      </c>
      <c r="AA23" s="319">
        <v>1</v>
      </c>
      <c r="AB23" s="321" t="s">
        <v>70</v>
      </c>
      <c r="AC23" s="534">
        <v>0</v>
      </c>
      <c r="AD23" s="534">
        <v>0</v>
      </c>
      <c r="AE23" s="534">
        <v>0</v>
      </c>
      <c r="AF23" s="534">
        <v>0</v>
      </c>
      <c r="AG23" s="534">
        <v>0</v>
      </c>
      <c r="AH23" s="53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3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1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1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60</v>
      </c>
      <c r="Y31" s="299">
        <v>2</v>
      </c>
      <c r="Z31" s="302" t="s">
        <v>522</v>
      </c>
      <c r="AA31" s="299">
        <v>3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0</v>
      </c>
      <c r="H32" s="308" t="s">
        <v>24</v>
      </c>
      <c r="I32" s="307">
        <v>1</v>
      </c>
      <c r="J32" s="533">
        <v>0</v>
      </c>
      <c r="K32" s="533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70</v>
      </c>
      <c r="AC33" s="534">
        <v>0</v>
      </c>
      <c r="AD33" s="534">
        <v>0</v>
      </c>
      <c r="AE33" s="534">
        <v>0</v>
      </c>
      <c r="AF33" s="534">
        <v>0</v>
      </c>
      <c r="AG33" s="534">
        <v>0</v>
      </c>
      <c r="AH33" s="53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1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0</v>
      </c>
      <c r="H39" s="291" t="s">
        <v>24</v>
      </c>
      <c r="I39" s="290">
        <v>0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2"/>
      <c r="AA39" s="532"/>
      <c r="AB39" s="53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64</v>
      </c>
      <c r="AC41" s="534">
        <v>0</v>
      </c>
      <c r="AD41" s="534">
        <v>0</v>
      </c>
      <c r="AE41" s="534">
        <v>0</v>
      </c>
      <c r="AF41" s="534">
        <v>0</v>
      </c>
      <c r="AG41" s="534">
        <v>0</v>
      </c>
      <c r="AH41" s="53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1</v>
      </c>
      <c r="J43" s="533">
        <v>0</v>
      </c>
      <c r="K43" s="53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2"/>
      <c r="AA47" s="532"/>
      <c r="AB47" s="53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25</v>
      </c>
      <c r="Y48" s="341">
        <v>2</v>
      </c>
      <c r="Z48" s="400" t="s">
        <v>522</v>
      </c>
      <c r="AA48" s="341">
        <v>0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1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3</v>
      </c>
      <c r="J54" s="533">
        <v>0</v>
      </c>
      <c r="K54" s="53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2"/>
      <c r="AA54" s="532"/>
      <c r="AB54" s="53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69</v>
      </c>
      <c r="Y55" s="341">
        <v>2</v>
      </c>
      <c r="Z55" s="400" t="s">
        <v>522</v>
      </c>
      <c r="AA55" s="341">
        <v>0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613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0</v>
      </c>
      <c r="J65" s="533">
        <v>0</v>
      </c>
      <c r="K65" s="53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2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0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1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533">
        <v>0</v>
      </c>
      <c r="K76" s="53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1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0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1</v>
      </c>
      <c r="J87" s="533">
        <v>0</v>
      </c>
      <c r="K87" s="53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0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1</v>
      </c>
      <c r="J98" s="533">
        <v>0</v>
      </c>
      <c r="K98" s="53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D4:I4"/>
    <mergeCell ref="Q4:X4"/>
    <mergeCell ref="D5:I5"/>
    <mergeCell ref="Q5:R5"/>
    <mergeCell ref="B2:C10"/>
    <mergeCell ref="D2:I2"/>
    <mergeCell ref="P2:X3"/>
    <mergeCell ref="AB2:AF2"/>
    <mergeCell ref="D8:I8"/>
    <mergeCell ref="Q8:X8"/>
    <mergeCell ref="D9:I9"/>
    <mergeCell ref="Q9:X9"/>
    <mergeCell ref="D10:I10"/>
    <mergeCell ref="AB5:AF5"/>
    <mergeCell ref="D6:I6"/>
    <mergeCell ref="Q6:X6"/>
    <mergeCell ref="D7:I7"/>
    <mergeCell ref="Q7:X7"/>
    <mergeCell ref="AB7:AF7"/>
    <mergeCell ref="D3:I3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49" priority="7" stopIfTrue="1" operator="equal">
      <formula>""</formula>
    </cfRule>
  </conditionalFormatting>
  <conditionalFormatting sqref="R16:R23 T16:T23">
    <cfRule type="expression" dxfId="48" priority="6" stopIfTrue="1">
      <formula>IF(AND($Q16=$U16,$Q16&lt;&gt;"",$U16&lt;&gt;"",OR($R16="",$T16="")),1,0)=1</formula>
    </cfRule>
  </conditionalFormatting>
  <conditionalFormatting sqref="R30:R33 T30:T33">
    <cfRule type="expression" dxfId="47" priority="5" stopIfTrue="1">
      <formula>IF(AND($Q30=$U30,$Q30&lt;&gt;"",$U30&lt;&gt;"",OR($R30="",$T30="")),1,0)=1</formula>
    </cfRule>
  </conditionalFormatting>
  <conditionalFormatting sqref="R40:R41 T40:T41">
    <cfRule type="expression" dxfId="46" priority="4" stopIfTrue="1">
      <formula>IF(AND($Q40=$U40,$Q40&lt;&gt;"",$U40&lt;&gt;"",OR($R40="",$T40="")),1,0)=1</formula>
    </cfRule>
  </conditionalFormatting>
  <conditionalFormatting sqref="R48 T48">
    <cfRule type="expression" dxfId="45" priority="3" stopIfTrue="1">
      <formula>IF(AND($Q48=$U48,$Q48&lt;&gt;"",$U48&lt;&gt;"",OR($R48="",$T48="")),1,0)=1</formula>
    </cfRule>
  </conditionalFormatting>
  <conditionalFormatting sqref="R55 T55">
    <cfRule type="expression" dxfId="44" priority="2" stopIfTrue="1">
      <formula>IF(AND($Q55=$U55,$Q55&lt;&gt;"",$U55&lt;&gt;"",OR($R55="",$T55="")),1,0)=1</formula>
    </cfRule>
  </conditionalFormatting>
  <conditionalFormatting sqref="Q4:Q9 R5">
    <cfRule type="expression" dxfId="43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workbookViewId="0">
      <selection activeCell="AB32" sqref="AB32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660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37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659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2816874009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2</v>
      </c>
      <c r="Z16" s="269" t="s">
        <v>522</v>
      </c>
      <c r="AA16" s="282">
        <v>0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2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52</v>
      </c>
      <c r="Y17" s="299">
        <v>1</v>
      </c>
      <c r="Z17" s="302" t="s">
        <v>522</v>
      </c>
      <c r="AA17" s="299">
        <v>2</v>
      </c>
      <c r="AB17" s="300" t="s">
        <v>56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2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27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1</v>
      </c>
      <c r="Z19" s="302" t="s">
        <v>522</v>
      </c>
      <c r="AA19" s="299">
        <v>1</v>
      </c>
      <c r="AB19" s="300" t="s">
        <v>49</v>
      </c>
      <c r="AC19" s="517">
        <v>0</v>
      </c>
      <c r="AD19" s="517">
        <v>0</v>
      </c>
      <c r="AE19" s="517">
        <v>0</v>
      </c>
      <c r="AF19" s="517">
        <v>0</v>
      </c>
      <c r="AG19" s="517">
        <v>4</v>
      </c>
      <c r="AH19" s="517">
        <v>5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0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4</v>
      </c>
      <c r="J21" s="533">
        <v>0</v>
      </c>
      <c r="K21" s="533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70</v>
      </c>
      <c r="Y21" s="299">
        <v>2</v>
      </c>
      <c r="Z21" s="302" t="s">
        <v>522</v>
      </c>
      <c r="AA21" s="299">
        <v>2</v>
      </c>
      <c r="AB21" s="300" t="s">
        <v>74</v>
      </c>
      <c r="AC21" s="517">
        <v>0</v>
      </c>
      <c r="AD21" s="517">
        <v>0</v>
      </c>
      <c r="AE21" s="517">
        <v>0</v>
      </c>
      <c r="AF21" s="517">
        <v>0</v>
      </c>
      <c r="AG21" s="517">
        <v>5</v>
      </c>
      <c r="AH21" s="517">
        <v>4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76</v>
      </c>
      <c r="Y23" s="319">
        <v>1</v>
      </c>
      <c r="Z23" s="305" t="s">
        <v>522</v>
      </c>
      <c r="AA23" s="319">
        <v>2</v>
      </c>
      <c r="AB23" s="321" t="s">
        <v>69</v>
      </c>
      <c r="AC23" s="534">
        <v>0</v>
      </c>
      <c r="AD23" s="534">
        <v>0</v>
      </c>
      <c r="AE23" s="534">
        <v>0</v>
      </c>
      <c r="AF23" s="534">
        <v>0</v>
      </c>
      <c r="AG23" s="534">
        <v>0</v>
      </c>
      <c r="AH23" s="53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1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4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56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1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70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533">
        <v>0</v>
      </c>
      <c r="K32" s="533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2</v>
      </c>
      <c r="AB32" s="300" t="s">
        <v>49</v>
      </c>
      <c r="AC32" s="517">
        <v>0</v>
      </c>
      <c r="AD32" s="517">
        <v>0</v>
      </c>
      <c r="AE32" s="517">
        <v>0</v>
      </c>
      <c r="AF32" s="517">
        <v>0</v>
      </c>
      <c r="AG32" s="517">
        <v>5</v>
      </c>
      <c r="AH32" s="517">
        <v>4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1</v>
      </c>
      <c r="Z33" s="305" t="s">
        <v>522</v>
      </c>
      <c r="AA33" s="319">
        <v>2</v>
      </c>
      <c r="AB33" s="321" t="s">
        <v>69</v>
      </c>
      <c r="AC33" s="534">
        <v>0</v>
      </c>
      <c r="AD33" s="534">
        <v>0</v>
      </c>
      <c r="AE33" s="534">
        <v>0</v>
      </c>
      <c r="AF33" s="534">
        <v>0</v>
      </c>
      <c r="AG33" s="534">
        <v>0</v>
      </c>
      <c r="AH33" s="53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2"/>
      <c r="AA39" s="532"/>
      <c r="AB39" s="53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70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0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69</v>
      </c>
      <c r="AC41" s="534">
        <v>0</v>
      </c>
      <c r="AD41" s="534">
        <v>0</v>
      </c>
      <c r="AE41" s="534">
        <v>0</v>
      </c>
      <c r="AF41" s="534">
        <v>0</v>
      </c>
      <c r="AG41" s="534">
        <v>0</v>
      </c>
      <c r="AH41" s="53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1</v>
      </c>
      <c r="J43" s="533">
        <v>0</v>
      </c>
      <c r="K43" s="53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2"/>
      <c r="AA47" s="532"/>
      <c r="AB47" s="53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70</v>
      </c>
      <c r="Y48" s="341">
        <v>2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4</v>
      </c>
      <c r="AH48" s="344">
        <v>5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2</v>
      </c>
      <c r="J54" s="533">
        <v>0</v>
      </c>
      <c r="K54" s="53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2"/>
      <c r="AA54" s="532"/>
      <c r="AB54" s="53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1</v>
      </c>
      <c r="Z55" s="400" t="s">
        <v>522</v>
      </c>
      <c r="AA55" s="341">
        <v>2</v>
      </c>
      <c r="AB55" s="343" t="s">
        <v>69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613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2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0</v>
      </c>
      <c r="J65" s="533">
        <v>0</v>
      </c>
      <c r="K65" s="53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4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2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0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1</v>
      </c>
      <c r="J76" s="533">
        <v>0</v>
      </c>
      <c r="K76" s="53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1</v>
      </c>
      <c r="J87" s="533">
        <v>0</v>
      </c>
      <c r="K87" s="53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2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0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1</v>
      </c>
      <c r="H98" s="308" t="s">
        <v>24</v>
      </c>
      <c r="I98" s="307">
        <v>3</v>
      </c>
      <c r="J98" s="533">
        <v>0</v>
      </c>
      <c r="K98" s="53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42" priority="7" stopIfTrue="1" operator="equal">
      <formula>""</formula>
    </cfRule>
  </conditionalFormatting>
  <conditionalFormatting sqref="R16:R23 T16:T23">
    <cfRule type="expression" dxfId="41" priority="6" stopIfTrue="1">
      <formula>IF(AND($Q16=$U16,$Q16&lt;&gt;"",$U16&lt;&gt;"",OR($R16="",$T16="")),1,0)=1</formula>
    </cfRule>
  </conditionalFormatting>
  <conditionalFormatting sqref="R30:R33 T30:T33">
    <cfRule type="expression" dxfId="40" priority="5" stopIfTrue="1">
      <formula>IF(AND($Q30=$U30,$Q30&lt;&gt;"",$U30&lt;&gt;"",OR($R30="",$T30="")),1,0)=1</formula>
    </cfRule>
  </conditionalFormatting>
  <conditionalFormatting sqref="R40:R41 T40:T41">
    <cfRule type="expression" dxfId="39" priority="4" stopIfTrue="1">
      <formula>IF(AND($Q40=$U40,$Q40&lt;&gt;"",$U40&lt;&gt;"",OR($R40="",$T40="")),1,0)=1</formula>
    </cfRule>
  </conditionalFormatting>
  <conditionalFormatting sqref="R48 T48">
    <cfRule type="expression" dxfId="38" priority="3" stopIfTrue="1">
      <formula>IF(AND($Q48=$U48,$Q48&lt;&gt;"",$U48&lt;&gt;"",OR($R48="",$T48="")),1,0)=1</formula>
    </cfRule>
  </conditionalFormatting>
  <conditionalFormatting sqref="R55 T55">
    <cfRule type="expression" dxfId="37" priority="2" stopIfTrue="1">
      <formula>IF(AND($Q55=$U55,$Q55&lt;&gt;"",$U55&lt;&gt;"",OR($R55="",$T55="")),1,0)=1</formula>
    </cfRule>
  </conditionalFormatting>
  <conditionalFormatting sqref="Q4:Q9 R5">
    <cfRule type="expression" dxfId="36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A152"/>
  <sheetViews>
    <sheetView topLeftCell="A4" workbookViewId="0">
      <selection activeCell="AH24" sqref="AH24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84"/>
      <c r="R3" s="684"/>
      <c r="S3" s="684"/>
      <c r="T3" s="684"/>
      <c r="U3" s="684"/>
      <c r="V3" s="684"/>
      <c r="W3" s="684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663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23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662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661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>
        <v>8327907315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1</v>
      </c>
      <c r="Z17" s="302" t="s">
        <v>522</v>
      </c>
      <c r="AA17" s="299">
        <v>2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2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2</v>
      </c>
      <c r="Z19" s="302" t="s">
        <v>522</v>
      </c>
      <c r="AA19" s="299">
        <v>1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0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2</v>
      </c>
      <c r="J21" s="533">
        <v>0</v>
      </c>
      <c r="K21" s="533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1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4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70</v>
      </c>
      <c r="AC23" s="534">
        <v>0</v>
      </c>
      <c r="AD23" s="534">
        <v>0</v>
      </c>
      <c r="AE23" s="534">
        <v>0</v>
      </c>
      <c r="AF23" s="534">
        <v>0</v>
      </c>
      <c r="AG23" s="534">
        <v>0</v>
      </c>
      <c r="AH23" s="53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2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2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3</v>
      </c>
      <c r="Z30" s="269" t="s">
        <v>522</v>
      </c>
      <c r="AA30" s="282">
        <v>2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2</v>
      </c>
      <c r="J32" s="533">
        <v>0</v>
      </c>
      <c r="K32" s="533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3</v>
      </c>
      <c r="Z32" s="302" t="s">
        <v>522</v>
      </c>
      <c r="AA32" s="299">
        <v>2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1</v>
      </c>
      <c r="AB33" s="321" t="s">
        <v>70</v>
      </c>
      <c r="AC33" s="534">
        <v>0</v>
      </c>
      <c r="AD33" s="534">
        <v>0</v>
      </c>
      <c r="AE33" s="534">
        <v>0</v>
      </c>
      <c r="AF33" s="534">
        <v>0</v>
      </c>
      <c r="AG33" s="534">
        <v>0</v>
      </c>
      <c r="AH33" s="53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0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2"/>
      <c r="AA39" s="532"/>
      <c r="AB39" s="53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2</v>
      </c>
      <c r="Z41" s="305" t="s">
        <v>522</v>
      </c>
      <c r="AA41" s="319">
        <v>1</v>
      </c>
      <c r="AB41" s="321" t="s">
        <v>64</v>
      </c>
      <c r="AC41" s="534">
        <v>0</v>
      </c>
      <c r="AD41" s="534">
        <v>0</v>
      </c>
      <c r="AE41" s="534">
        <v>0</v>
      </c>
      <c r="AF41" s="534">
        <v>0</v>
      </c>
      <c r="AG41" s="534">
        <v>0</v>
      </c>
      <c r="AH41" s="53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0</v>
      </c>
      <c r="H43" s="308" t="s">
        <v>24</v>
      </c>
      <c r="I43" s="307">
        <v>2</v>
      </c>
      <c r="J43" s="533">
        <v>0</v>
      </c>
      <c r="K43" s="53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2"/>
      <c r="AA47" s="532"/>
      <c r="AB47" s="53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3</v>
      </c>
      <c r="AB48" s="343" t="s">
        <v>64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3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3</v>
      </c>
      <c r="J54" s="533">
        <v>0</v>
      </c>
      <c r="K54" s="53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2"/>
      <c r="AA54" s="532"/>
      <c r="AB54" s="53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3</v>
      </c>
      <c r="Z55" s="400" t="s">
        <v>522</v>
      </c>
      <c r="AA55" s="341">
        <v>1</v>
      </c>
      <c r="AB55" s="343" t="s">
        <v>43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0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3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533">
        <v>0</v>
      </c>
      <c r="K65" s="53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3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0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1</v>
      </c>
      <c r="H76" s="308" t="s">
        <v>24</v>
      </c>
      <c r="I76" s="307">
        <v>0</v>
      </c>
      <c r="J76" s="533">
        <v>0</v>
      </c>
      <c r="K76" s="53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3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2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1</v>
      </c>
      <c r="H87" s="308" t="s">
        <v>24</v>
      </c>
      <c r="I87" s="307">
        <v>0</v>
      </c>
      <c r="J87" s="533">
        <v>0</v>
      </c>
      <c r="K87" s="53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3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533">
        <v>0</v>
      </c>
      <c r="K98" s="53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B80:F81"/>
    <mergeCell ref="B91:F92"/>
    <mergeCell ref="AC56:AF56"/>
    <mergeCell ref="AC57:AF57"/>
    <mergeCell ref="B58:F59"/>
    <mergeCell ref="P60:V61"/>
    <mergeCell ref="X60:AB61"/>
    <mergeCell ref="B69:F70"/>
    <mergeCell ref="AG53:AH53"/>
    <mergeCell ref="W54:Y54"/>
    <mergeCell ref="AC43:AF43"/>
    <mergeCell ref="P46:V47"/>
    <mergeCell ref="W46:AB46"/>
    <mergeCell ref="AC46:AF46"/>
    <mergeCell ref="AG46:AH46"/>
    <mergeCell ref="AC49:AF49"/>
    <mergeCell ref="AC50:AF50"/>
    <mergeCell ref="P53:V54"/>
    <mergeCell ref="W53:AB53"/>
    <mergeCell ref="AC53:AF53"/>
    <mergeCell ref="B47:F48"/>
    <mergeCell ref="W47:Y47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28:AH28"/>
    <mergeCell ref="W29:AB29"/>
    <mergeCell ref="AG12:AH12"/>
    <mergeCell ref="B14:F15"/>
    <mergeCell ref="P14:V15"/>
    <mergeCell ref="W14:AB14"/>
    <mergeCell ref="AC14:AF14"/>
    <mergeCell ref="AG14:AH14"/>
    <mergeCell ref="W15:AB15"/>
    <mergeCell ref="AE12:AF12"/>
    <mergeCell ref="D9:I9"/>
    <mergeCell ref="Q9:X9"/>
    <mergeCell ref="D10:I10"/>
    <mergeCell ref="B12:N12"/>
    <mergeCell ref="P12:AD12"/>
    <mergeCell ref="B2:C10"/>
    <mergeCell ref="D2:I2"/>
    <mergeCell ref="P2:X3"/>
    <mergeCell ref="AB2:AF2"/>
    <mergeCell ref="D6:I6"/>
    <mergeCell ref="Q6:X6"/>
    <mergeCell ref="D7:I7"/>
    <mergeCell ref="Q7:X7"/>
    <mergeCell ref="AB7:AF7"/>
    <mergeCell ref="D8:I8"/>
    <mergeCell ref="Q8:X8"/>
    <mergeCell ref="AB5:AF5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35" priority="7" stopIfTrue="1" operator="equal">
      <formula>""</formula>
    </cfRule>
  </conditionalFormatting>
  <conditionalFormatting sqref="R16:R23 T16:T23">
    <cfRule type="expression" dxfId="34" priority="6" stopIfTrue="1">
      <formula>IF(AND($Q16=$U16,$Q16&lt;&gt;"",$U16&lt;&gt;"",OR($R16="",$T16="")),1,0)=1</formula>
    </cfRule>
  </conditionalFormatting>
  <conditionalFormatting sqref="R30:R33 T30:T33">
    <cfRule type="expression" dxfId="33" priority="5" stopIfTrue="1">
      <formula>IF(AND($Q30=$U30,$Q30&lt;&gt;"",$U30&lt;&gt;"",OR($R30="",$T30="")),1,0)=1</formula>
    </cfRule>
  </conditionalFormatting>
  <conditionalFormatting sqref="R40:R41 T40:T41">
    <cfRule type="expression" dxfId="32" priority="4" stopIfTrue="1">
      <formula>IF(AND($Q40=$U40,$Q40&lt;&gt;"",$U40&lt;&gt;"",OR($R40="",$T40="")),1,0)=1</formula>
    </cfRule>
  </conditionalFormatting>
  <conditionalFormatting sqref="R48 T48">
    <cfRule type="expression" dxfId="31" priority="3" stopIfTrue="1">
      <formula>IF(AND($Q48=$U48,$Q48&lt;&gt;"",$U48&lt;&gt;"",OR($R48="",$T48="")),1,0)=1</formula>
    </cfRule>
  </conditionalFormatting>
  <conditionalFormatting sqref="R55 T55">
    <cfRule type="expression" dxfId="30" priority="2" stopIfTrue="1">
      <formula>IF(AND($Q55=$U55,$Q55&lt;&gt;"",$U55&lt;&gt;"",OR($R55="",$T55="")),1,0)=1</formula>
    </cfRule>
  </conditionalFormatting>
  <conditionalFormatting sqref="Q4:Q9 R5">
    <cfRule type="expression" dxfId="29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5"/>
  <dimension ref="A1:BA152"/>
  <sheetViews>
    <sheetView workbookViewId="0">
      <selection activeCell="AH26" sqref="AH26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84"/>
      <c r="R3" s="684"/>
      <c r="S3" s="684"/>
      <c r="T3" s="684"/>
      <c r="U3" s="684"/>
      <c r="V3" s="684"/>
      <c r="W3" s="684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665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26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72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664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41">
        <v>2819351108</v>
      </c>
      <c r="R9" s="659"/>
      <c r="S9" s="659"/>
      <c r="T9" s="659"/>
      <c r="U9" s="659"/>
      <c r="V9" s="659"/>
      <c r="W9" s="659"/>
      <c r="X9" s="660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2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43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3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1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44</v>
      </c>
      <c r="Y18" s="299">
        <v>2</v>
      </c>
      <c r="Z18" s="302" t="s">
        <v>522</v>
      </c>
      <c r="AA18" s="299">
        <v>1</v>
      </c>
      <c r="AB18" s="300" t="s">
        <v>28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2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3</v>
      </c>
      <c r="Z19" s="302" t="s">
        <v>522</v>
      </c>
      <c r="AA19" s="299">
        <v>2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0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3</v>
      </c>
      <c r="Z20" s="302" t="s">
        <v>522</v>
      </c>
      <c r="AA20" s="299">
        <v>2</v>
      </c>
      <c r="AB20" s="300" t="s">
        <v>67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2</v>
      </c>
      <c r="J21" s="533">
        <v>0</v>
      </c>
      <c r="K21" s="533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2</v>
      </c>
      <c r="Z21" s="302" t="s">
        <v>522</v>
      </c>
      <c r="AA21" s="299">
        <v>1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70</v>
      </c>
      <c r="AC23" s="534">
        <v>0</v>
      </c>
      <c r="AD23" s="534">
        <v>0</v>
      </c>
      <c r="AE23" s="534">
        <v>0</v>
      </c>
      <c r="AF23" s="534">
        <v>0</v>
      </c>
      <c r="AG23" s="534">
        <v>0</v>
      </c>
      <c r="AH23" s="53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2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3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4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2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57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3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1</v>
      </c>
      <c r="J32" s="533">
        <v>0</v>
      </c>
      <c r="K32" s="533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44</v>
      </c>
      <c r="Y32" s="299">
        <v>1</v>
      </c>
      <c r="Z32" s="302" t="s">
        <v>522</v>
      </c>
      <c r="AA32" s="299">
        <v>2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3</v>
      </c>
      <c r="Z33" s="305" t="s">
        <v>522</v>
      </c>
      <c r="AA33" s="319">
        <v>2</v>
      </c>
      <c r="AB33" s="321" t="s">
        <v>70</v>
      </c>
      <c r="AC33" s="534">
        <v>0</v>
      </c>
      <c r="AD33" s="534">
        <v>0</v>
      </c>
      <c r="AE33" s="534">
        <v>0</v>
      </c>
      <c r="AF33" s="534">
        <v>0</v>
      </c>
      <c r="AG33" s="534">
        <v>0</v>
      </c>
      <c r="AH33" s="53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1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2"/>
      <c r="AA39" s="532"/>
      <c r="AB39" s="53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2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54</v>
      </c>
      <c r="Y41" s="319">
        <v>1</v>
      </c>
      <c r="Z41" s="305" t="s">
        <v>522</v>
      </c>
      <c r="AA41" s="319">
        <v>2</v>
      </c>
      <c r="AB41" s="321" t="s">
        <v>64</v>
      </c>
      <c r="AC41" s="534">
        <v>0</v>
      </c>
      <c r="AD41" s="534">
        <v>0</v>
      </c>
      <c r="AE41" s="534">
        <v>0</v>
      </c>
      <c r="AF41" s="534">
        <v>0</v>
      </c>
      <c r="AG41" s="534">
        <v>0</v>
      </c>
      <c r="AH41" s="53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1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1</v>
      </c>
      <c r="H43" s="308" t="s">
        <v>24</v>
      </c>
      <c r="I43" s="307">
        <v>2</v>
      </c>
      <c r="J43" s="533">
        <v>0</v>
      </c>
      <c r="K43" s="53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2"/>
      <c r="AA47" s="532"/>
      <c r="AB47" s="53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3</v>
      </c>
      <c r="Z48" s="400" t="s">
        <v>522</v>
      </c>
      <c r="AA48" s="341">
        <v>1</v>
      </c>
      <c r="AB48" s="343" t="s">
        <v>54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2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2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2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2</v>
      </c>
      <c r="J54" s="533">
        <v>0</v>
      </c>
      <c r="K54" s="53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2"/>
      <c r="AA54" s="532"/>
      <c r="AB54" s="53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2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3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533">
        <v>0</v>
      </c>
      <c r="K65" s="53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5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2</v>
      </c>
      <c r="H76" s="308" t="s">
        <v>24</v>
      </c>
      <c r="I76" s="307">
        <v>0</v>
      </c>
      <c r="J76" s="533">
        <v>0</v>
      </c>
      <c r="K76" s="53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2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3</v>
      </c>
      <c r="H85" s="291" t="s">
        <v>24</v>
      </c>
      <c r="I85" s="290">
        <v>0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2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1</v>
      </c>
      <c r="J87" s="533">
        <v>0</v>
      </c>
      <c r="K87" s="53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3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2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2</v>
      </c>
      <c r="J98" s="533">
        <v>0</v>
      </c>
      <c r="K98" s="53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D4:I4"/>
    <mergeCell ref="Q4:X4"/>
    <mergeCell ref="D5:I5"/>
    <mergeCell ref="Q5:R5"/>
    <mergeCell ref="B2:C10"/>
    <mergeCell ref="D2:I2"/>
    <mergeCell ref="P2:X3"/>
    <mergeCell ref="AB2:AF2"/>
    <mergeCell ref="D8:I8"/>
    <mergeCell ref="Q8:X8"/>
    <mergeCell ref="D9:I9"/>
    <mergeCell ref="Q9:X9"/>
    <mergeCell ref="D10:I10"/>
    <mergeCell ref="AB5:AF5"/>
    <mergeCell ref="D6:I6"/>
    <mergeCell ref="Q6:X6"/>
    <mergeCell ref="D7:I7"/>
    <mergeCell ref="Q7:X7"/>
    <mergeCell ref="AB7:AF7"/>
    <mergeCell ref="D3:I3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28" priority="7" stopIfTrue="1" operator="equal">
      <formula>""</formula>
    </cfRule>
  </conditionalFormatting>
  <conditionalFormatting sqref="R16:R23 T16:T23">
    <cfRule type="expression" dxfId="27" priority="6" stopIfTrue="1">
      <formula>IF(AND($Q16=$U16,$Q16&lt;&gt;"",$U16&lt;&gt;"",OR($R16="",$T16="")),1,0)=1</formula>
    </cfRule>
  </conditionalFormatting>
  <conditionalFormatting sqref="R30:R33 T30:T33">
    <cfRule type="expression" dxfId="26" priority="5" stopIfTrue="1">
      <formula>IF(AND($Q30=$U30,$Q30&lt;&gt;"",$U30&lt;&gt;"",OR($R30="",$T30="")),1,0)=1</formula>
    </cfRule>
  </conditionalFormatting>
  <conditionalFormatting sqref="R40:R41 T40:T41">
    <cfRule type="expression" dxfId="25" priority="4" stopIfTrue="1">
      <formula>IF(AND($Q40=$U40,$Q40&lt;&gt;"",$U40&lt;&gt;"",OR($R40="",$T40="")),1,0)=1</formula>
    </cfRule>
  </conditionalFormatting>
  <conditionalFormatting sqref="R48 T48">
    <cfRule type="expression" dxfId="24" priority="3" stopIfTrue="1">
      <formula>IF(AND($Q48=$U48,$Q48&lt;&gt;"",$U48&lt;&gt;"",OR($R48="",$T48="")),1,0)=1</formula>
    </cfRule>
  </conditionalFormatting>
  <conditionalFormatting sqref="R55 T55">
    <cfRule type="expression" dxfId="23" priority="2" stopIfTrue="1">
      <formula>IF(AND($Q55=$U55,$Q55&lt;&gt;"",$U55&lt;&gt;"",OR($R55="",$T55="")),1,0)=1</formula>
    </cfRule>
  </conditionalFormatting>
  <conditionalFormatting sqref="R5 Q4:Q9">
    <cfRule type="expression" dxfId="22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6"/>
  <dimension ref="A1:BA152"/>
  <sheetViews>
    <sheetView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36"/>
      <c r="R2" s="636"/>
      <c r="S2" s="636"/>
      <c r="T2" s="636"/>
      <c r="U2" s="636"/>
      <c r="V2" s="636"/>
      <c r="W2" s="636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84"/>
      <c r="R3" s="684"/>
      <c r="S3" s="684"/>
      <c r="T3" s="684"/>
      <c r="U3" s="684"/>
      <c r="V3" s="684"/>
      <c r="W3" s="684"/>
      <c r="X3" s="685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666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27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567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565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1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2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1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0</v>
      </c>
      <c r="Z17" s="302" t="s">
        <v>522</v>
      </c>
      <c r="AA17" s="299">
        <v>0</v>
      </c>
      <c r="AB17" s="300" t="s">
        <v>57</v>
      </c>
      <c r="AC17" s="517">
        <v>0</v>
      </c>
      <c r="AD17" s="517">
        <v>0</v>
      </c>
      <c r="AE17" s="517">
        <v>0</v>
      </c>
      <c r="AF17" s="517">
        <v>0</v>
      </c>
      <c r="AG17" s="517">
        <v>4</v>
      </c>
      <c r="AH17" s="517">
        <v>3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1</v>
      </c>
      <c r="Z18" s="302" t="s">
        <v>522</v>
      </c>
      <c r="AA18" s="299">
        <v>0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1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54</v>
      </c>
      <c r="Y19" s="299">
        <v>1</v>
      </c>
      <c r="Z19" s="302" t="s">
        <v>522</v>
      </c>
      <c r="AA19" s="299">
        <v>0</v>
      </c>
      <c r="AB19" s="300" t="s">
        <v>50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0</v>
      </c>
      <c r="Z20" s="302" t="s">
        <v>522</v>
      </c>
      <c r="AA20" s="299">
        <v>1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2</v>
      </c>
      <c r="J21" s="533">
        <v>0</v>
      </c>
      <c r="K21" s="533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70</v>
      </c>
      <c r="Y21" s="299">
        <v>3</v>
      </c>
      <c r="Z21" s="302" t="s">
        <v>522</v>
      </c>
      <c r="AA21" s="299">
        <v>0</v>
      </c>
      <c r="AB21" s="300" t="s">
        <v>76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1</v>
      </c>
      <c r="Z22" s="302" t="s">
        <v>522</v>
      </c>
      <c r="AA22" s="299">
        <v>0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2</v>
      </c>
      <c r="AB23" s="321" t="s">
        <v>69</v>
      </c>
      <c r="AC23" s="534">
        <v>0</v>
      </c>
      <c r="AD23" s="534">
        <v>0</v>
      </c>
      <c r="AE23" s="534">
        <v>0</v>
      </c>
      <c r="AF23" s="534">
        <v>0</v>
      </c>
      <c r="AG23" s="534">
        <v>0</v>
      </c>
      <c r="AH23" s="534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0</v>
      </c>
      <c r="H27" s="272" t="s">
        <v>24</v>
      </c>
      <c r="I27" s="271">
        <v>0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94"/>
      <c r="D28" s="302" t="s">
        <v>522</v>
      </c>
      <c r="E28" s="394"/>
      <c r="F28" s="406" t="s">
        <v>46</v>
      </c>
      <c r="G28" s="290">
        <v>1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94"/>
      <c r="D29" s="302" t="s">
        <v>522</v>
      </c>
      <c r="E29" s="394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94"/>
      <c r="D30" s="302" t="s">
        <v>522</v>
      </c>
      <c r="E30" s="394"/>
      <c r="F30" s="406" t="s">
        <v>45</v>
      </c>
      <c r="G30" s="290">
        <v>2</v>
      </c>
      <c r="H30" s="291" t="s">
        <v>24</v>
      </c>
      <c r="I30" s="290">
        <v>1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0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94"/>
      <c r="D31" s="302" t="s">
        <v>522</v>
      </c>
      <c r="E31" s="394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65</v>
      </c>
      <c r="Y31" s="299">
        <v>1</v>
      </c>
      <c r="Z31" s="302" t="s">
        <v>522</v>
      </c>
      <c r="AA31" s="299">
        <v>3</v>
      </c>
      <c r="AB31" s="300" t="s">
        <v>70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94"/>
      <c r="D32" s="305" t="s">
        <v>522</v>
      </c>
      <c r="E32" s="394"/>
      <c r="F32" s="404" t="s">
        <v>45</v>
      </c>
      <c r="G32" s="307">
        <v>0</v>
      </c>
      <c r="H32" s="308" t="s">
        <v>24</v>
      </c>
      <c r="I32" s="307">
        <v>1</v>
      </c>
      <c r="J32" s="533">
        <v>0</v>
      </c>
      <c r="K32" s="533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1</v>
      </c>
      <c r="Z32" s="302" t="s">
        <v>522</v>
      </c>
      <c r="AA32" s="299">
        <v>0</v>
      </c>
      <c r="AB32" s="300" t="s">
        <v>54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2</v>
      </c>
      <c r="Z33" s="305" t="s">
        <v>522</v>
      </c>
      <c r="AA33" s="319">
        <v>1</v>
      </c>
      <c r="AB33" s="321" t="s">
        <v>69</v>
      </c>
      <c r="AC33" s="534">
        <v>0</v>
      </c>
      <c r="AD33" s="534">
        <v>0</v>
      </c>
      <c r="AE33" s="534">
        <v>0</v>
      </c>
      <c r="AF33" s="534">
        <v>0</v>
      </c>
      <c r="AG33" s="534">
        <v>0</v>
      </c>
      <c r="AH33" s="534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2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0</v>
      </c>
      <c r="H39" s="291" t="s">
        <v>24</v>
      </c>
      <c r="I39" s="290">
        <v>0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2"/>
      <c r="AA39" s="532"/>
      <c r="AB39" s="532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1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1</v>
      </c>
      <c r="Z40" s="269" t="s">
        <v>522</v>
      </c>
      <c r="AA40" s="282">
        <v>0</v>
      </c>
      <c r="AB40" s="284" t="s">
        <v>70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1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0</v>
      </c>
      <c r="Z41" s="305" t="s">
        <v>522</v>
      </c>
      <c r="AA41" s="319">
        <v>1</v>
      </c>
      <c r="AB41" s="321" t="s">
        <v>64</v>
      </c>
      <c r="AC41" s="534">
        <v>0</v>
      </c>
      <c r="AD41" s="534">
        <v>0</v>
      </c>
      <c r="AE41" s="534">
        <v>0</v>
      </c>
      <c r="AF41" s="534">
        <v>0</v>
      </c>
      <c r="AG41" s="534">
        <v>0</v>
      </c>
      <c r="AH41" s="534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0</v>
      </c>
      <c r="H42" s="291" t="s">
        <v>24</v>
      </c>
      <c r="I42" s="290">
        <v>0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1</v>
      </c>
      <c r="J43" s="533">
        <v>0</v>
      </c>
      <c r="K43" s="533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2"/>
      <c r="AA47" s="532"/>
      <c r="AB47" s="532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70</v>
      </c>
      <c r="Y48" s="341">
        <v>0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2</v>
      </c>
      <c r="H49" s="272" t="s">
        <v>24</v>
      </c>
      <c r="I49" s="271">
        <v>0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3</v>
      </c>
      <c r="H51" s="291" t="s">
        <v>24</v>
      </c>
      <c r="I51" s="290">
        <v>2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1</v>
      </c>
      <c r="H52" s="291" t="s">
        <v>24</v>
      </c>
      <c r="I52" s="290">
        <v>0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1</v>
      </c>
      <c r="H54" s="308" t="s">
        <v>24</v>
      </c>
      <c r="I54" s="307">
        <v>1</v>
      </c>
      <c r="J54" s="533">
        <v>0</v>
      </c>
      <c r="K54" s="533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2"/>
      <c r="AA54" s="532"/>
      <c r="AB54" s="532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3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4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2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0</v>
      </c>
      <c r="H65" s="308" t="s">
        <v>24</v>
      </c>
      <c r="I65" s="307">
        <v>0</v>
      </c>
      <c r="J65" s="533">
        <v>0</v>
      </c>
      <c r="K65" s="533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1</v>
      </c>
      <c r="H71" s="272" t="s">
        <v>24</v>
      </c>
      <c r="I71" s="271">
        <v>0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3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4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1</v>
      </c>
      <c r="H74" s="291" t="s">
        <v>24</v>
      </c>
      <c r="I74" s="290">
        <v>1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0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3</v>
      </c>
      <c r="H76" s="308" t="s">
        <v>24</v>
      </c>
      <c r="I76" s="307">
        <v>0</v>
      </c>
      <c r="J76" s="533">
        <v>0</v>
      </c>
      <c r="K76" s="533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0</v>
      </c>
      <c r="H85" s="291" t="s">
        <v>24</v>
      </c>
      <c r="I85" s="290">
        <v>1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1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2</v>
      </c>
      <c r="J87" s="533">
        <v>0</v>
      </c>
      <c r="K87" s="533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3</v>
      </c>
      <c r="H94" s="291" t="s">
        <v>24</v>
      </c>
      <c r="I94" s="290">
        <v>2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2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0</v>
      </c>
      <c r="H96" s="291" t="s">
        <v>24</v>
      </c>
      <c r="I96" s="290">
        <v>2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3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1</v>
      </c>
      <c r="J98" s="533">
        <v>0</v>
      </c>
      <c r="K98" s="533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D4:I4"/>
    <mergeCell ref="Q4:X4"/>
    <mergeCell ref="D5:I5"/>
    <mergeCell ref="Q5:R5"/>
    <mergeCell ref="B2:C10"/>
    <mergeCell ref="D2:I2"/>
    <mergeCell ref="P2:X3"/>
    <mergeCell ref="AB2:AF2"/>
    <mergeCell ref="D8:I8"/>
    <mergeCell ref="Q8:X8"/>
    <mergeCell ref="D9:I9"/>
    <mergeCell ref="Q9:X9"/>
    <mergeCell ref="D10:I10"/>
    <mergeCell ref="AB5:AF5"/>
    <mergeCell ref="D6:I6"/>
    <mergeCell ref="Q6:X6"/>
    <mergeCell ref="D7:I7"/>
    <mergeCell ref="Q7:X7"/>
    <mergeCell ref="AB7:AF7"/>
    <mergeCell ref="D3:I3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38:C43 E38:E43 C49:C54 E49:E54 C60:C65 E60:E65 C71:C76 E71:E76 C82:C87 E82:E87 C93:C98 E93:E98 Q16:Q23 U16:U23 Q30:Q33 U30:U33 Q40:Q41 U40:U41 Q48 U48 U55 Q55">
    <cfRule type="cellIs" dxfId="21" priority="8" stopIfTrue="1" operator="equal">
      <formula>""</formula>
    </cfRule>
  </conditionalFormatting>
  <conditionalFormatting sqref="R16:R23 T16:T23">
    <cfRule type="expression" dxfId="20" priority="7" stopIfTrue="1">
      <formula>IF(AND($Q16=$U16,$Q16&lt;&gt;"",$U16&lt;&gt;"",OR($R16="",$T16="")),1,0)=1</formula>
    </cfRule>
  </conditionalFormatting>
  <conditionalFormatting sqref="R30:R33 T30:T33">
    <cfRule type="expression" dxfId="19" priority="6" stopIfTrue="1">
      <formula>IF(AND($Q30=$U30,$Q30&lt;&gt;"",$U30&lt;&gt;"",OR($R30="",$T30="")),1,0)=1</formula>
    </cfRule>
  </conditionalFormatting>
  <conditionalFormatting sqref="R40:R41 T40:T41">
    <cfRule type="expression" dxfId="18" priority="5" stopIfTrue="1">
      <formula>IF(AND($Q40=$U40,$Q40&lt;&gt;"",$U40&lt;&gt;"",OR($R40="",$T40="")),1,0)=1</formula>
    </cfRule>
  </conditionalFormatting>
  <conditionalFormatting sqref="R48 T48">
    <cfRule type="expression" dxfId="17" priority="4" stopIfTrue="1">
      <formula>IF(AND($Q48=$U48,$Q48&lt;&gt;"",$U48&lt;&gt;"",OR($R48="",$T48="")),1,0)=1</formula>
    </cfRule>
  </conditionalFormatting>
  <conditionalFormatting sqref="R55 T55">
    <cfRule type="expression" dxfId="16" priority="3" stopIfTrue="1">
      <formula>IF(AND($Q55=$U55,$Q55&lt;&gt;"",$U55&lt;&gt;"",OR($R55="",$T55="")),1,0)=1</formula>
    </cfRule>
  </conditionalFormatting>
  <conditionalFormatting sqref="Q4:Q9 R5">
    <cfRule type="expression" dxfId="15" priority="2" stopIfTrue="1">
      <formula>IF($Q4="",1,0)=1</formula>
    </cfRule>
  </conditionalFormatting>
  <conditionalFormatting sqref="C27:C32 E27:E32">
    <cfRule type="cellIs" dxfId="14" priority="1" stopIfTrue="1" operator="equal">
      <formula>""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7"/>
  <dimension ref="A1:BA152"/>
  <sheetViews>
    <sheetView workbookViewId="0">
      <selection activeCell="P12" sqref="P12:AD12"/>
    </sheetView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670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>
        <v>40</v>
      </c>
      <c r="R5" s="662"/>
      <c r="S5" s="419" t="str">
        <f>IF(Q5&lt;&gt;"","años","")</f>
        <v>años</v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 t="s">
        <v>568</v>
      </c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 t="s">
        <v>669</v>
      </c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 t="s">
        <v>668</v>
      </c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 t="s">
        <v>667</v>
      </c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4</v>
      </c>
      <c r="H16" s="272" t="s">
        <v>24</v>
      </c>
      <c r="I16" s="271">
        <v>1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44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2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2</v>
      </c>
      <c r="Z17" s="302" t="s">
        <v>522</v>
      </c>
      <c r="AA17" s="299">
        <v>2</v>
      </c>
      <c r="AB17" s="300" t="s">
        <v>54</v>
      </c>
      <c r="AC17" s="517">
        <v>0</v>
      </c>
      <c r="AD17" s="517">
        <v>0</v>
      </c>
      <c r="AE17" s="517">
        <v>0</v>
      </c>
      <c r="AF17" s="517">
        <v>0</v>
      </c>
      <c r="AG17" s="517">
        <v>3</v>
      </c>
      <c r="AH17" s="517">
        <v>4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1</v>
      </c>
      <c r="H18" s="291" t="s">
        <v>24</v>
      </c>
      <c r="I18" s="290">
        <v>0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2</v>
      </c>
      <c r="AB18" s="300" t="s">
        <v>27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0</v>
      </c>
      <c r="H19" s="291" t="s">
        <v>24</v>
      </c>
      <c r="I19" s="290">
        <v>2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1</v>
      </c>
      <c r="Z19" s="302" t="s">
        <v>522</v>
      </c>
      <c r="AA19" s="299">
        <v>0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1</v>
      </c>
      <c r="H20" s="291" t="s">
        <v>24</v>
      </c>
      <c r="I20" s="290">
        <v>2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61</v>
      </c>
      <c r="Y20" s="299">
        <v>2</v>
      </c>
      <c r="Z20" s="302" t="s">
        <v>522</v>
      </c>
      <c r="AA20" s="299">
        <v>1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1</v>
      </c>
      <c r="H21" s="308" t="s">
        <v>24</v>
      </c>
      <c r="I21" s="307">
        <v>3</v>
      </c>
      <c r="J21" s="535">
        <v>0</v>
      </c>
      <c r="K21" s="535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69</v>
      </c>
      <c r="Y21" s="299">
        <v>3</v>
      </c>
      <c r="Z21" s="302" t="s">
        <v>522</v>
      </c>
      <c r="AA21" s="299">
        <v>2</v>
      </c>
      <c r="AB21" s="300" t="s">
        <v>74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76</v>
      </c>
      <c r="Y23" s="319">
        <v>1</v>
      </c>
      <c r="Z23" s="305" t="s">
        <v>522</v>
      </c>
      <c r="AA23" s="319">
        <v>2</v>
      </c>
      <c r="AB23" s="321" t="s">
        <v>70</v>
      </c>
      <c r="AC23" s="537">
        <v>0</v>
      </c>
      <c r="AD23" s="537">
        <v>0</v>
      </c>
      <c r="AE23" s="537">
        <v>0</v>
      </c>
      <c r="AF23" s="537">
        <v>0</v>
      </c>
      <c r="AG23" s="537">
        <v>0</v>
      </c>
      <c r="AH23" s="537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2</v>
      </c>
      <c r="H27" s="272" t="s">
        <v>24</v>
      </c>
      <c r="I27" s="271">
        <v>1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1</v>
      </c>
      <c r="H28" s="291" t="s">
        <v>24</v>
      </c>
      <c r="I28" s="290">
        <v>0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1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1</v>
      </c>
      <c r="H30" s="291" t="s">
        <v>24</v>
      </c>
      <c r="I30" s="290">
        <v>0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3</v>
      </c>
      <c r="Z30" s="269" t="s">
        <v>522</v>
      </c>
      <c r="AA30" s="282">
        <v>1</v>
      </c>
      <c r="AB30" s="284" t="s">
        <v>54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2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61</v>
      </c>
      <c r="Y31" s="299">
        <v>1</v>
      </c>
      <c r="Z31" s="302" t="s">
        <v>522</v>
      </c>
      <c r="AA31" s="299">
        <v>2</v>
      </c>
      <c r="AB31" s="300" t="s">
        <v>69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1</v>
      </c>
      <c r="H32" s="308" t="s">
        <v>24</v>
      </c>
      <c r="I32" s="307">
        <v>1</v>
      </c>
      <c r="J32" s="535">
        <v>0</v>
      </c>
      <c r="K32" s="535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2</v>
      </c>
      <c r="Z32" s="302" t="s">
        <v>522</v>
      </c>
      <c r="AA32" s="299">
        <v>2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5</v>
      </c>
      <c r="AH32" s="517">
        <v>4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1</v>
      </c>
      <c r="Z33" s="305" t="s">
        <v>522</v>
      </c>
      <c r="AA33" s="319">
        <v>0</v>
      </c>
      <c r="AB33" s="321" t="s">
        <v>70</v>
      </c>
      <c r="AC33" s="537">
        <v>0</v>
      </c>
      <c r="AD33" s="537">
        <v>0</v>
      </c>
      <c r="AE33" s="537">
        <v>0</v>
      </c>
      <c r="AF33" s="537">
        <v>0</v>
      </c>
      <c r="AG33" s="537">
        <v>0</v>
      </c>
      <c r="AH33" s="537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3</v>
      </c>
      <c r="H38" s="272" t="s">
        <v>24</v>
      </c>
      <c r="I38" s="271">
        <v>1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2</v>
      </c>
      <c r="H39" s="291" t="s">
        <v>24</v>
      </c>
      <c r="I39" s="290">
        <v>1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6"/>
      <c r="AA39" s="536"/>
      <c r="AB39" s="536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1</v>
      </c>
      <c r="H40" s="291" t="s">
        <v>24</v>
      </c>
      <c r="I40" s="290">
        <v>0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1</v>
      </c>
      <c r="AB40" s="284" t="s">
        <v>69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1</v>
      </c>
      <c r="AB41" s="321" t="s">
        <v>64</v>
      </c>
      <c r="AC41" s="537">
        <v>0</v>
      </c>
      <c r="AD41" s="537">
        <v>0</v>
      </c>
      <c r="AE41" s="537">
        <v>0</v>
      </c>
      <c r="AF41" s="537">
        <v>0</v>
      </c>
      <c r="AG41" s="537">
        <v>4</v>
      </c>
      <c r="AH41" s="537">
        <v>5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2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2</v>
      </c>
      <c r="J43" s="535">
        <v>0</v>
      </c>
      <c r="K43" s="535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6"/>
      <c r="AA47" s="536"/>
      <c r="AB47" s="536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69</v>
      </c>
      <c r="Y48" s="341">
        <v>2</v>
      </c>
      <c r="Z48" s="400" t="s">
        <v>522</v>
      </c>
      <c r="AA48" s="341">
        <v>3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1</v>
      </c>
      <c r="H50" s="291" t="s">
        <v>24</v>
      </c>
      <c r="I50" s="290">
        <v>1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1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3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1</v>
      </c>
      <c r="H53" s="291" t="s">
        <v>24</v>
      </c>
      <c r="I53" s="290">
        <v>1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0</v>
      </c>
      <c r="H54" s="308" t="s">
        <v>24</v>
      </c>
      <c r="I54" s="307">
        <v>1</v>
      </c>
      <c r="J54" s="535">
        <v>0</v>
      </c>
      <c r="K54" s="535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6"/>
      <c r="AA54" s="536"/>
      <c r="AB54" s="536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2</v>
      </c>
      <c r="Z55" s="400" t="s">
        <v>522</v>
      </c>
      <c r="AA55" s="341">
        <v>1</v>
      </c>
      <c r="AB55" s="343" t="s">
        <v>64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564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0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1</v>
      </c>
      <c r="H62" s="291" t="s">
        <v>24</v>
      </c>
      <c r="I62" s="290">
        <v>2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0</v>
      </c>
      <c r="H64" s="291" t="s">
        <v>24</v>
      </c>
      <c r="I64" s="290">
        <v>1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1</v>
      </c>
      <c r="H65" s="308" t="s">
        <v>24</v>
      </c>
      <c r="I65" s="307">
        <v>2</v>
      </c>
      <c r="J65" s="535">
        <v>0</v>
      </c>
      <c r="K65" s="535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1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1</v>
      </c>
      <c r="H72" s="291" t="s">
        <v>24</v>
      </c>
      <c r="I72" s="290">
        <v>2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5</v>
      </c>
      <c r="H73" s="291" t="s">
        <v>24</v>
      </c>
      <c r="I73" s="290">
        <v>0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2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2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3</v>
      </c>
      <c r="H76" s="308" t="s">
        <v>24</v>
      </c>
      <c r="I76" s="307">
        <v>1</v>
      </c>
      <c r="J76" s="535">
        <v>0</v>
      </c>
      <c r="K76" s="535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0</v>
      </c>
      <c r="H82" s="272" t="s">
        <v>24</v>
      </c>
      <c r="I82" s="271">
        <v>0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2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3</v>
      </c>
      <c r="H84" s="291" t="s">
        <v>24</v>
      </c>
      <c r="I84" s="290">
        <v>0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2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0</v>
      </c>
      <c r="H86" s="291" t="s">
        <v>24</v>
      </c>
      <c r="I86" s="290">
        <v>1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2</v>
      </c>
      <c r="H87" s="308" t="s">
        <v>24</v>
      </c>
      <c r="I87" s="307">
        <v>0</v>
      </c>
      <c r="J87" s="535">
        <v>0</v>
      </c>
      <c r="K87" s="535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2</v>
      </c>
      <c r="H93" s="272" t="s">
        <v>24</v>
      </c>
      <c r="I93" s="271">
        <v>0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1</v>
      </c>
      <c r="H94" s="291" t="s">
        <v>24</v>
      </c>
      <c r="I94" s="290">
        <v>0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1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2</v>
      </c>
      <c r="H96" s="291" t="s">
        <v>24</v>
      </c>
      <c r="I96" s="290">
        <v>1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2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0</v>
      </c>
      <c r="H98" s="308" t="s">
        <v>24</v>
      </c>
      <c r="I98" s="307">
        <v>3</v>
      </c>
      <c r="J98" s="535">
        <v>0</v>
      </c>
      <c r="K98" s="535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  <mergeCell ref="B47:F48"/>
    <mergeCell ref="W47:Y47"/>
    <mergeCell ref="AC49:AF49"/>
    <mergeCell ref="AC50:AF50"/>
    <mergeCell ref="P53:V54"/>
    <mergeCell ref="W53:AB53"/>
    <mergeCell ref="AC53:AF53"/>
    <mergeCell ref="AC43:AF43"/>
    <mergeCell ref="P46:V47"/>
    <mergeCell ref="W46:AB46"/>
    <mergeCell ref="AC46:AF46"/>
    <mergeCell ref="AG46:AH46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B25:F26"/>
    <mergeCell ref="AC25:AF25"/>
    <mergeCell ref="P28:V29"/>
    <mergeCell ref="W28:AB28"/>
    <mergeCell ref="AC28:AF28"/>
    <mergeCell ref="AG12:AH12"/>
    <mergeCell ref="B14:F15"/>
    <mergeCell ref="P14:V15"/>
    <mergeCell ref="W14:AB14"/>
    <mergeCell ref="AC14:AF14"/>
    <mergeCell ref="AG14:AH14"/>
    <mergeCell ref="W15:AB15"/>
    <mergeCell ref="B12:N12"/>
    <mergeCell ref="P12:AD12"/>
    <mergeCell ref="AE12:AF12"/>
    <mergeCell ref="B2:C10"/>
    <mergeCell ref="D2:I2"/>
    <mergeCell ref="P2:X3"/>
    <mergeCell ref="AB2:AF2"/>
    <mergeCell ref="D8:I8"/>
    <mergeCell ref="Q8:X8"/>
    <mergeCell ref="D9:I9"/>
    <mergeCell ref="Q9:X9"/>
    <mergeCell ref="D10:I10"/>
    <mergeCell ref="AB5:AF5"/>
    <mergeCell ref="D6:I6"/>
    <mergeCell ref="Q6:X6"/>
    <mergeCell ref="D7:I7"/>
    <mergeCell ref="Q7:X7"/>
    <mergeCell ref="AB7:AF7"/>
    <mergeCell ref="D3:I3"/>
    <mergeCell ref="D4:I4"/>
    <mergeCell ref="Q4:X4"/>
    <mergeCell ref="D5:I5"/>
    <mergeCell ref="Q5:R5"/>
  </mergeCells>
  <conditionalFormatting sqref="C16:C21 E16:E21 C27:C32 E27:E32 C38:C43 E38:E43 C49:C54 E49:E54 C60:C65 E60:E65 C71:C76 E71:E76 C82:C87 E82:E87 C93:C98 E93:E98 Q16:Q23 U16:U23 Q30:Q33 U30:U33 Q40:Q41 U40:U41 Q48 U48 U55 Q55">
    <cfRule type="cellIs" dxfId="13" priority="7" stopIfTrue="1" operator="equal">
      <formula>""</formula>
    </cfRule>
  </conditionalFormatting>
  <conditionalFormatting sqref="R16:R23 T16:T23">
    <cfRule type="expression" dxfId="12" priority="6" stopIfTrue="1">
      <formula>IF(AND($Q16=$U16,$Q16&lt;&gt;"",$U16&lt;&gt;"",OR($R16="",$T16="")),1,0)=1</formula>
    </cfRule>
  </conditionalFormatting>
  <conditionalFormatting sqref="R30:R33 T30:T33">
    <cfRule type="expression" dxfId="11" priority="5" stopIfTrue="1">
      <formula>IF(AND($Q30=$U30,$Q30&lt;&gt;"",$U30&lt;&gt;"",OR($R30="",$T30="")),1,0)=1</formula>
    </cfRule>
  </conditionalFormatting>
  <conditionalFormatting sqref="R40:R41 T40:T41">
    <cfRule type="expression" dxfId="10" priority="4" stopIfTrue="1">
      <formula>IF(AND($Q40=$U40,$Q40&lt;&gt;"",$U40&lt;&gt;"",OR($R40="",$T40="")),1,0)=1</formula>
    </cfRule>
  </conditionalFormatting>
  <conditionalFormatting sqref="R48 T48">
    <cfRule type="expression" dxfId="9" priority="3" stopIfTrue="1">
      <formula>IF(AND($Q48=$U48,$Q48&lt;&gt;"",$U48&lt;&gt;"",OR($R48="",$T48="")),1,0)=1</formula>
    </cfRule>
  </conditionalFormatting>
  <conditionalFormatting sqref="R55 T55">
    <cfRule type="expression" dxfId="8" priority="2" stopIfTrue="1">
      <formula>IF(AND($Q55=$U55,$Q55&lt;&gt;"",$U55&lt;&gt;"",OR($R55="",$T55="")),1,0)=1</formula>
    </cfRule>
  </conditionalFormatting>
  <conditionalFormatting sqref="Q4:Q9 R5">
    <cfRule type="expression" dxfId="7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Quiniela18"/>
  <dimension ref="A1:BA152"/>
  <sheetViews>
    <sheetView tabSelected="1" workbookViewId="0"/>
  </sheetViews>
  <sheetFormatPr defaultColWidth="11.42578125" defaultRowHeight="15" x14ac:dyDescent="0.25"/>
  <cols>
    <col min="1" max="1" width="1.7109375" customWidth="1"/>
    <col min="2" max="2" width="16.7109375" customWidth="1"/>
    <col min="3" max="5" width="2.7109375" customWidth="1"/>
    <col min="6" max="6" width="16.7109375" customWidth="1"/>
    <col min="7" max="7" width="3.7109375" customWidth="1"/>
    <col min="8" max="8" width="1.7109375" customWidth="1"/>
    <col min="9" max="9" width="3.7109375" customWidth="1"/>
    <col min="10" max="11" width="5.7109375" customWidth="1"/>
    <col min="12" max="12" width="1.7109375" customWidth="1"/>
    <col min="13" max="13" width="6.7109375" customWidth="1"/>
    <col min="14" max="14" width="3.7109375" customWidth="1"/>
    <col min="15" max="15" width="2.7109375" customWidth="1"/>
    <col min="16" max="16" width="15.7109375" customWidth="1"/>
    <col min="17" max="21" width="2.7109375" customWidth="1"/>
    <col min="22" max="22" width="15.7109375" customWidth="1"/>
    <col min="23" max="23" width="0" hidden="1" customWidth="1"/>
    <col min="24" max="24" width="15.7109375" customWidth="1"/>
    <col min="25" max="27" width="2.7109375" customWidth="1"/>
    <col min="28" max="28" width="15.7109375" customWidth="1"/>
    <col min="29" max="30" width="3.7109375" customWidth="1"/>
    <col min="31" max="32" width="5.7109375" customWidth="1"/>
    <col min="33" max="34" width="4" bestFit="1" customWidth="1"/>
    <col min="35" max="35" width="11.7109375" customWidth="1"/>
    <col min="36" max="52" width="7.7109375" customWidth="1"/>
    <col min="53" max="56" width="11.7109375" customWidth="1"/>
  </cols>
  <sheetData>
    <row r="1" spans="1:53" ht="12" customHeight="1" thickBot="1" x14ac:dyDescent="0.3">
      <c r="A1" s="163"/>
      <c r="B1" s="240"/>
      <c r="C1" s="240"/>
      <c r="D1" s="164"/>
      <c r="E1" s="164"/>
      <c r="F1" s="241"/>
      <c r="G1" s="241"/>
      <c r="H1" s="241"/>
      <c r="I1" s="241"/>
      <c r="J1" s="163"/>
      <c r="K1" s="164"/>
      <c r="L1" s="163"/>
      <c r="M1" s="163"/>
      <c r="N1" s="163"/>
      <c r="O1" s="163"/>
      <c r="P1" s="242"/>
      <c r="Q1" s="242"/>
      <c r="R1" s="242"/>
      <c r="S1" s="243"/>
      <c r="T1" s="243"/>
      <c r="U1" s="243"/>
      <c r="V1" s="244"/>
      <c r="W1" s="244"/>
      <c r="X1" s="244"/>
      <c r="Y1" s="244"/>
      <c r="Z1" s="244"/>
      <c r="AA1" s="244"/>
      <c r="AB1" s="163"/>
      <c r="AC1" s="163"/>
      <c r="AD1" s="163"/>
      <c r="AE1" s="163"/>
      <c r="AF1" s="163"/>
      <c r="AG1" s="163"/>
      <c r="AH1" s="163"/>
      <c r="AI1" s="163"/>
      <c r="AJ1" s="163"/>
      <c r="AK1" s="163"/>
      <c r="AL1" s="163"/>
      <c r="AM1" s="163"/>
      <c r="AN1" s="163"/>
      <c r="AO1" s="163"/>
      <c r="AP1" s="163"/>
      <c r="AQ1" s="163"/>
      <c r="AR1" s="163"/>
      <c r="AS1" s="163"/>
      <c r="AT1" s="163"/>
      <c r="AU1" s="163"/>
      <c r="AV1" s="163"/>
      <c r="AW1" s="163"/>
      <c r="AX1" s="163"/>
      <c r="AY1" s="163"/>
      <c r="AZ1" s="163"/>
      <c r="BA1" s="163"/>
    </row>
    <row r="2" spans="1:53" ht="11.1" customHeight="1" x14ac:dyDescent="0.25">
      <c r="A2" s="163"/>
      <c r="B2" s="620" t="s">
        <v>493</v>
      </c>
      <c r="C2" s="621"/>
      <c r="D2" s="658" t="s">
        <v>494</v>
      </c>
      <c r="E2" s="658"/>
      <c r="F2" s="658"/>
      <c r="G2" s="658"/>
      <c r="H2" s="658"/>
      <c r="I2" s="658"/>
      <c r="J2" s="420">
        <f>J22+J33+J44+J55+J66+J77+J88+J99</f>
        <v>0</v>
      </c>
      <c r="K2" s="164"/>
      <c r="L2" s="163"/>
      <c r="M2" s="163"/>
      <c r="N2" s="163"/>
      <c r="O2" s="163"/>
      <c r="P2" s="635" t="s">
        <v>495</v>
      </c>
      <c r="Q2" s="667"/>
      <c r="R2" s="667"/>
      <c r="S2" s="667"/>
      <c r="T2" s="667"/>
      <c r="U2" s="667"/>
      <c r="V2" s="667"/>
      <c r="W2" s="667"/>
      <c r="X2" s="637"/>
      <c r="Y2" s="246"/>
      <c r="Z2" s="246"/>
      <c r="AA2" s="246"/>
      <c r="AB2" s="630" t="s">
        <v>571</v>
      </c>
      <c r="AC2" s="630"/>
      <c r="AD2" s="630"/>
      <c r="AE2" s="630"/>
      <c r="AF2" s="630"/>
      <c r="AG2" s="163"/>
      <c r="AH2" s="163"/>
      <c r="AI2" s="163"/>
      <c r="AJ2" s="163"/>
      <c r="AK2" s="163"/>
      <c r="AL2" s="163"/>
      <c r="AM2" s="163"/>
      <c r="AN2" s="163"/>
      <c r="AO2" s="163"/>
      <c r="AP2" s="163"/>
      <c r="AQ2" s="163"/>
      <c r="AR2" s="163"/>
      <c r="AS2" s="163"/>
      <c r="AT2" s="163"/>
      <c r="AU2" s="163"/>
      <c r="AV2" s="163"/>
      <c r="AW2" s="163"/>
      <c r="AX2" s="163"/>
      <c r="AY2" s="163"/>
      <c r="AZ2" s="163"/>
      <c r="BA2" s="163"/>
    </row>
    <row r="3" spans="1:53" ht="11.1" customHeight="1" x14ac:dyDescent="0.25">
      <c r="A3" s="163"/>
      <c r="B3" s="622"/>
      <c r="C3" s="623"/>
      <c r="D3" s="678" t="s">
        <v>496</v>
      </c>
      <c r="E3" s="678"/>
      <c r="F3" s="678"/>
      <c r="G3" s="678"/>
      <c r="H3" s="678"/>
      <c r="I3" s="678"/>
      <c r="J3" s="520">
        <f>K22+K33+K44+K55+K66+K77+K88+K99</f>
        <v>0</v>
      </c>
      <c r="K3" s="164"/>
      <c r="L3" s="163"/>
      <c r="M3" s="163"/>
      <c r="N3" s="163"/>
      <c r="O3" s="163"/>
      <c r="P3" s="681"/>
      <c r="Q3" s="670"/>
      <c r="R3" s="670"/>
      <c r="S3" s="670"/>
      <c r="T3" s="670"/>
      <c r="U3" s="670"/>
      <c r="V3" s="670"/>
      <c r="W3" s="670"/>
      <c r="X3" s="671"/>
      <c r="Y3" s="246"/>
      <c r="Z3" s="246"/>
      <c r="AA3" s="246"/>
      <c r="AB3" s="248"/>
      <c r="AC3" s="248"/>
      <c r="AD3" s="248"/>
      <c r="AE3" s="248"/>
      <c r="AF3" s="248"/>
      <c r="AG3" s="248"/>
      <c r="AH3" s="248"/>
      <c r="AI3" s="163"/>
      <c r="AJ3" s="163"/>
      <c r="AK3" s="163"/>
      <c r="AL3" s="163"/>
      <c r="AM3" s="163"/>
      <c r="AN3" s="163"/>
      <c r="AO3" s="163"/>
      <c r="AP3" s="163"/>
      <c r="AQ3" s="163"/>
      <c r="AR3" s="163"/>
      <c r="AS3" s="163"/>
      <c r="AT3" s="163"/>
      <c r="AU3" s="163"/>
      <c r="AV3" s="163"/>
      <c r="AW3" s="163"/>
      <c r="AX3" s="163"/>
      <c r="AY3" s="163"/>
      <c r="AZ3" s="163"/>
      <c r="BA3" s="163"/>
    </row>
    <row r="4" spans="1:53" ht="14.1" customHeight="1" x14ac:dyDescent="0.25">
      <c r="A4" s="163"/>
      <c r="B4" s="622"/>
      <c r="C4" s="623"/>
      <c r="D4" s="678" t="s">
        <v>497</v>
      </c>
      <c r="E4" s="678"/>
      <c r="F4" s="678"/>
      <c r="G4" s="678"/>
      <c r="H4" s="678"/>
      <c r="I4" s="678"/>
      <c r="J4" s="520">
        <f>AE24+AE34+AE42+AE48+AE55</f>
        <v>0</v>
      </c>
      <c r="K4" s="164"/>
      <c r="L4" s="163"/>
      <c r="M4" s="163"/>
      <c r="N4" s="163"/>
      <c r="O4" s="163"/>
      <c r="P4" s="413" t="s">
        <v>498</v>
      </c>
      <c r="Q4" s="641" t="s">
        <v>671</v>
      </c>
      <c r="R4" s="659"/>
      <c r="S4" s="659"/>
      <c r="T4" s="659"/>
      <c r="U4" s="659"/>
      <c r="V4" s="659"/>
      <c r="W4" s="659"/>
      <c r="X4" s="660"/>
      <c r="Y4" s="250"/>
      <c r="Z4" s="250"/>
      <c r="AA4" s="250"/>
      <c r="AB4" s="248"/>
      <c r="AC4" s="248"/>
      <c r="AD4" s="248"/>
      <c r="AE4" s="248"/>
      <c r="AF4" s="248"/>
      <c r="AG4" s="248"/>
      <c r="AH4" s="248"/>
      <c r="AI4" s="163"/>
      <c r="AJ4" s="163"/>
      <c r="AK4" s="163"/>
      <c r="AL4" s="163"/>
      <c r="AM4" s="163"/>
      <c r="AN4" s="163"/>
      <c r="AO4" s="163"/>
      <c r="AP4" s="163"/>
      <c r="AQ4" s="163"/>
      <c r="AR4" s="163"/>
      <c r="AS4" s="163"/>
      <c r="AT4" s="163"/>
      <c r="AU4" s="163"/>
      <c r="AV4" s="163"/>
      <c r="AW4" s="163"/>
      <c r="AX4" s="163"/>
      <c r="AY4" s="163"/>
      <c r="AZ4" s="163"/>
      <c r="BA4" s="163"/>
    </row>
    <row r="5" spans="1:53" ht="14.25" customHeight="1" x14ac:dyDescent="0.25">
      <c r="A5" s="163"/>
      <c r="B5" s="622"/>
      <c r="C5" s="623"/>
      <c r="D5" s="678" t="s">
        <v>499</v>
      </c>
      <c r="E5" s="678"/>
      <c r="F5" s="678"/>
      <c r="G5" s="678"/>
      <c r="H5" s="678"/>
      <c r="I5" s="678"/>
      <c r="J5" s="520">
        <f>AF24+AF34+AF42+AF48+AF55</f>
        <v>0</v>
      </c>
      <c r="K5" s="164"/>
      <c r="L5" s="163"/>
      <c r="M5" s="163"/>
      <c r="N5" s="163"/>
      <c r="O5" s="163"/>
      <c r="P5" s="413" t="s">
        <v>500</v>
      </c>
      <c r="Q5" s="661"/>
      <c r="R5" s="662"/>
      <c r="S5" s="419" t="str">
        <f>IF(Q5&lt;&gt;"","años","")</f>
        <v/>
      </c>
      <c r="T5" s="418"/>
      <c r="U5" s="418"/>
      <c r="V5" s="417"/>
      <c r="W5" s="416"/>
      <c r="X5" s="415"/>
      <c r="Y5" s="248"/>
      <c r="Z5" s="250"/>
      <c r="AA5" s="250"/>
      <c r="AB5" s="630" t="s">
        <v>569</v>
      </c>
      <c r="AC5" s="630"/>
      <c r="AD5" s="630"/>
      <c r="AE5" s="630"/>
      <c r="AF5" s="630"/>
      <c r="AG5" s="163"/>
      <c r="AH5" s="163"/>
      <c r="AI5" s="163"/>
      <c r="AJ5" s="163"/>
      <c r="AK5" s="163"/>
      <c r="AL5" s="163"/>
      <c r="AM5" s="163"/>
      <c r="AN5" s="163"/>
      <c r="AO5" s="163"/>
      <c r="AP5" s="163"/>
      <c r="AQ5" s="163"/>
      <c r="AR5" s="163"/>
      <c r="AS5" s="163"/>
      <c r="AT5" s="163"/>
      <c r="AU5" s="163"/>
      <c r="AV5" s="163"/>
      <c r="AW5" s="163"/>
      <c r="AX5" s="163"/>
      <c r="AY5" s="163"/>
      <c r="AZ5" s="163"/>
      <c r="BA5" s="163"/>
    </row>
    <row r="6" spans="1:53" ht="11.1" customHeight="1" x14ac:dyDescent="0.25">
      <c r="A6" s="163"/>
      <c r="B6" s="622"/>
      <c r="C6" s="623"/>
      <c r="D6" s="678" t="s">
        <v>502</v>
      </c>
      <c r="E6" s="678"/>
      <c r="F6" s="678"/>
      <c r="G6" s="678"/>
      <c r="H6" s="678"/>
      <c r="I6" s="678"/>
      <c r="J6" s="520">
        <f>AC24+AD24</f>
        <v>0</v>
      </c>
      <c r="K6" s="164"/>
      <c r="L6" s="163"/>
      <c r="M6" s="163"/>
      <c r="N6" s="163"/>
      <c r="O6" s="163"/>
      <c r="P6" s="413" t="s">
        <v>503</v>
      </c>
      <c r="Q6" s="641"/>
      <c r="R6" s="659"/>
      <c r="S6" s="659"/>
      <c r="T6" s="659"/>
      <c r="U6" s="659"/>
      <c r="V6" s="659"/>
      <c r="W6" s="659"/>
      <c r="X6" s="660"/>
      <c r="Y6" s="256"/>
      <c r="Z6" s="256"/>
      <c r="AA6" s="256"/>
      <c r="AB6" s="248"/>
      <c r="AC6" s="248"/>
      <c r="AD6" s="248"/>
      <c r="AE6" s="248"/>
      <c r="AF6" s="248"/>
      <c r="AG6" s="248"/>
      <c r="AH6" s="248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3"/>
      <c r="AX6" s="163"/>
      <c r="AY6" s="163"/>
      <c r="AZ6" s="163"/>
      <c r="BA6" s="163"/>
    </row>
    <row r="7" spans="1:53" ht="15.75" customHeight="1" x14ac:dyDescent="0.25">
      <c r="A7" s="163"/>
      <c r="B7" s="622"/>
      <c r="C7" s="623"/>
      <c r="D7" s="678" t="s">
        <v>504</v>
      </c>
      <c r="E7" s="678"/>
      <c r="F7" s="678"/>
      <c r="G7" s="678"/>
      <c r="H7" s="678"/>
      <c r="I7" s="678"/>
      <c r="J7" s="520">
        <f>AC34+AD34</f>
        <v>0</v>
      </c>
      <c r="K7" s="164"/>
      <c r="L7" s="163"/>
      <c r="M7" s="163"/>
      <c r="N7" s="163"/>
      <c r="O7" s="163"/>
      <c r="P7" s="413" t="s">
        <v>505</v>
      </c>
      <c r="Q7" s="641"/>
      <c r="R7" s="659"/>
      <c r="S7" s="659"/>
      <c r="T7" s="659"/>
      <c r="U7" s="659"/>
      <c r="V7" s="659"/>
      <c r="W7" s="659"/>
      <c r="X7" s="660"/>
      <c r="Y7" s="244"/>
      <c r="Z7" s="256"/>
      <c r="AA7" s="256"/>
      <c r="AB7" s="630" t="s">
        <v>566</v>
      </c>
      <c r="AC7" s="630"/>
      <c r="AD7" s="630"/>
      <c r="AE7" s="630"/>
      <c r="AF7" s="630"/>
      <c r="AG7" s="163"/>
      <c r="AH7" s="163"/>
      <c r="AI7" s="163"/>
      <c r="AJ7" s="163"/>
      <c r="AK7" s="163"/>
      <c r="AL7" s="163"/>
      <c r="AM7" s="163"/>
      <c r="AN7" s="163"/>
      <c r="AO7" s="163"/>
      <c r="AP7" s="163"/>
      <c r="AQ7" s="163"/>
      <c r="AR7" s="163"/>
      <c r="AS7" s="163"/>
      <c r="AT7" s="163"/>
      <c r="AU7" s="163"/>
      <c r="AV7" s="163"/>
      <c r="AW7" s="163"/>
      <c r="AX7" s="163"/>
      <c r="AY7" s="163"/>
      <c r="AZ7" s="163"/>
      <c r="BA7" s="163"/>
    </row>
    <row r="8" spans="1:53" ht="11.1" customHeight="1" x14ac:dyDescent="0.25">
      <c r="A8" s="163"/>
      <c r="B8" s="622"/>
      <c r="C8" s="623"/>
      <c r="D8" s="678" t="s">
        <v>554</v>
      </c>
      <c r="E8" s="678"/>
      <c r="F8" s="678"/>
      <c r="G8" s="678"/>
      <c r="H8" s="678"/>
      <c r="I8" s="678"/>
      <c r="J8" s="520">
        <f>AC42+AD42+AC55+AD55</f>
        <v>0</v>
      </c>
      <c r="K8" s="164"/>
      <c r="L8" s="163"/>
      <c r="M8" s="163"/>
      <c r="N8" s="163"/>
      <c r="O8" s="163"/>
      <c r="P8" s="413" t="s">
        <v>507</v>
      </c>
      <c r="Q8" s="641"/>
      <c r="R8" s="659"/>
      <c r="S8" s="659"/>
      <c r="T8" s="659"/>
      <c r="U8" s="659"/>
      <c r="V8" s="659"/>
      <c r="W8" s="659"/>
      <c r="X8" s="660"/>
      <c r="Y8" s="256"/>
      <c r="Z8" s="256"/>
      <c r="AA8" s="256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3"/>
      <c r="AM8" s="163"/>
      <c r="AN8" s="163"/>
      <c r="AO8" s="163"/>
      <c r="AP8" s="163"/>
      <c r="AQ8" s="163"/>
      <c r="AR8" s="163"/>
      <c r="AS8" s="163"/>
      <c r="AT8" s="163"/>
      <c r="AU8" s="163"/>
      <c r="AV8" s="163"/>
      <c r="AW8" s="163"/>
      <c r="AX8" s="163"/>
      <c r="AY8" s="163"/>
      <c r="AZ8" s="163"/>
      <c r="BA8" s="163"/>
    </row>
    <row r="9" spans="1:53" ht="11.1" customHeight="1" thickBot="1" x14ac:dyDescent="0.3">
      <c r="A9" s="163"/>
      <c r="B9" s="622"/>
      <c r="C9" s="623"/>
      <c r="D9" s="678" t="s">
        <v>508</v>
      </c>
      <c r="E9" s="678"/>
      <c r="F9" s="678"/>
      <c r="G9" s="678"/>
      <c r="H9" s="678"/>
      <c r="I9" s="678"/>
      <c r="J9" s="412">
        <f>AC56</f>
        <v>0</v>
      </c>
      <c r="K9" s="164"/>
      <c r="L9" s="163"/>
      <c r="M9" s="163"/>
      <c r="N9" s="163"/>
      <c r="O9" s="163"/>
      <c r="P9" s="411" t="s">
        <v>509</v>
      </c>
      <c r="Q9" s="654"/>
      <c r="R9" s="655"/>
      <c r="S9" s="655"/>
      <c r="T9" s="655"/>
      <c r="U9" s="655"/>
      <c r="V9" s="655"/>
      <c r="W9" s="655"/>
      <c r="X9" s="656"/>
      <c r="Y9" s="163"/>
      <c r="Z9" s="163"/>
      <c r="AA9" s="163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3"/>
      <c r="AM9" s="163"/>
      <c r="AN9" s="163"/>
      <c r="AO9" s="163"/>
      <c r="AP9" s="163"/>
      <c r="AQ9" s="163"/>
      <c r="AR9" s="163"/>
      <c r="AS9" s="163"/>
      <c r="AT9" s="163"/>
      <c r="AU9" s="163"/>
      <c r="AV9" s="163"/>
      <c r="AW9" s="163"/>
      <c r="AX9" s="163"/>
      <c r="AY9" s="163"/>
      <c r="AZ9" s="163"/>
      <c r="BA9" s="163"/>
    </row>
    <row r="10" spans="1:53" ht="15" customHeight="1" thickBot="1" x14ac:dyDescent="0.3">
      <c r="A10" s="163"/>
      <c r="B10" s="624"/>
      <c r="C10" s="625"/>
      <c r="D10" s="657" t="s">
        <v>510</v>
      </c>
      <c r="E10" s="657"/>
      <c r="F10" s="657"/>
      <c r="G10" s="657"/>
      <c r="H10" s="657"/>
      <c r="I10" s="657"/>
      <c r="J10" s="410">
        <f>SUM(J2:J9)</f>
        <v>0</v>
      </c>
      <c r="K10" s="164"/>
      <c r="L10" s="163"/>
      <c r="M10" s="163"/>
      <c r="N10" s="163"/>
      <c r="O10" s="163"/>
      <c r="P10" s="242"/>
      <c r="Q10" s="242"/>
      <c r="R10" s="242"/>
      <c r="S10" s="243"/>
      <c r="T10" s="243"/>
      <c r="U10" s="243"/>
      <c r="V10" s="244"/>
      <c r="W10" s="244"/>
      <c r="X10" s="244"/>
      <c r="Y10" s="244"/>
      <c r="Z10" s="244"/>
      <c r="AA10" s="244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</row>
    <row r="11" spans="1:53" ht="11.1" customHeight="1" x14ac:dyDescent="0.25">
      <c r="A11" s="163"/>
      <c r="B11" s="240"/>
      <c r="C11" s="240"/>
      <c r="D11" s="164"/>
      <c r="E11" s="164"/>
      <c r="F11" s="241"/>
      <c r="G11" s="241"/>
      <c r="H11" s="241"/>
      <c r="I11" s="241"/>
      <c r="J11" s="163"/>
      <c r="K11" s="164"/>
      <c r="L11" s="163"/>
      <c r="M11" s="163"/>
      <c r="N11" s="163"/>
      <c r="O11" s="163"/>
      <c r="P11" s="242"/>
      <c r="Q11" s="242"/>
      <c r="R11" s="242"/>
      <c r="S11" s="243"/>
      <c r="T11" s="243"/>
      <c r="U11" s="243"/>
      <c r="V11" s="244"/>
      <c r="W11" s="244"/>
      <c r="X11" s="244"/>
      <c r="Y11" s="244"/>
      <c r="Z11" s="244"/>
      <c r="AA11" s="244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3"/>
      <c r="AM11" s="163"/>
      <c r="AN11" s="163"/>
      <c r="AO11" s="163"/>
      <c r="AP11" s="163"/>
      <c r="AQ11" s="163"/>
      <c r="AR11" s="163"/>
      <c r="AS11" s="163"/>
      <c r="AT11" s="163"/>
      <c r="AU11" s="163"/>
      <c r="AV11" s="163"/>
      <c r="AW11" s="163"/>
      <c r="AX11" s="163"/>
      <c r="AY11" s="163"/>
      <c r="AZ11" s="163"/>
      <c r="BA11" s="163"/>
    </row>
    <row r="12" spans="1:53" ht="20.100000000000001" customHeight="1" x14ac:dyDescent="0.3">
      <c r="A12" s="163"/>
      <c r="B12" s="618" t="s">
        <v>511</v>
      </c>
      <c r="C12" s="618"/>
      <c r="D12" s="618"/>
      <c r="E12" s="618"/>
      <c r="F12" s="618"/>
      <c r="G12" s="618"/>
      <c r="H12" s="618"/>
      <c r="I12" s="618"/>
      <c r="J12" s="618"/>
      <c r="K12" s="618"/>
      <c r="L12" s="618"/>
      <c r="M12" s="618"/>
      <c r="N12" s="618"/>
      <c r="O12" s="163"/>
      <c r="P12" s="618" t="s">
        <v>512</v>
      </c>
      <c r="Q12" s="618"/>
      <c r="R12" s="618"/>
      <c r="S12" s="618"/>
      <c r="T12" s="618"/>
      <c r="U12" s="618"/>
      <c r="V12" s="618"/>
      <c r="W12" s="618"/>
      <c r="X12" s="618"/>
      <c r="Y12" s="618"/>
      <c r="Z12" s="618"/>
      <c r="AA12" s="618"/>
      <c r="AB12" s="618"/>
      <c r="AC12" s="618"/>
      <c r="AD12" s="618"/>
      <c r="AE12" s="619"/>
      <c r="AF12" s="619"/>
      <c r="AG12" s="619"/>
      <c r="AH12" s="619"/>
      <c r="AI12" s="163"/>
      <c r="AJ12" s="163"/>
      <c r="AK12" s="163"/>
      <c r="AL12" s="163"/>
      <c r="AM12" s="163"/>
      <c r="AN12" s="163"/>
      <c r="AO12" s="163"/>
      <c r="AP12" s="163"/>
      <c r="AQ12" s="163"/>
      <c r="AR12" s="163"/>
      <c r="AS12" s="163"/>
      <c r="AT12" s="163"/>
      <c r="AU12" s="163"/>
      <c r="AV12" s="163"/>
      <c r="AW12" s="163"/>
      <c r="AX12" s="163"/>
      <c r="AY12" s="163"/>
      <c r="AZ12" s="163"/>
      <c r="BA12" s="163"/>
    </row>
    <row r="13" spans="1:53" ht="8.1" customHeight="1" x14ac:dyDescent="0.25">
      <c r="A13" s="163"/>
      <c r="B13" s="240"/>
      <c r="C13" s="240"/>
      <c r="D13" s="164"/>
      <c r="E13" s="164"/>
      <c r="F13" s="241"/>
      <c r="G13" s="241"/>
      <c r="H13" s="241"/>
      <c r="I13" s="241"/>
      <c r="J13" s="163"/>
      <c r="K13" s="164"/>
      <c r="L13" s="163"/>
      <c r="M13" s="163"/>
      <c r="N13" s="163"/>
      <c r="O13" s="163"/>
      <c r="P13" s="242"/>
      <c r="Q13" s="242"/>
      <c r="R13" s="242"/>
      <c r="S13" s="243"/>
      <c r="T13" s="243"/>
      <c r="U13" s="243"/>
      <c r="V13" s="244"/>
      <c r="W13" s="244"/>
      <c r="X13" s="244"/>
      <c r="Y13" s="244"/>
      <c r="Z13" s="244"/>
      <c r="AA13" s="244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3"/>
      <c r="AM13" s="163"/>
      <c r="AN13" s="163"/>
      <c r="AO13" s="163"/>
      <c r="AP13" s="163"/>
      <c r="AQ13" s="163"/>
      <c r="AR13" s="163"/>
      <c r="AS13" s="163"/>
      <c r="AT13" s="163"/>
      <c r="AU13" s="163"/>
      <c r="AV13" s="163"/>
      <c r="AW13" s="163"/>
      <c r="AX13" s="163"/>
      <c r="AY13" s="163"/>
      <c r="AZ13" s="163"/>
      <c r="BA13" s="163"/>
    </row>
    <row r="14" spans="1:53" ht="11.1" customHeight="1" x14ac:dyDescent="0.25">
      <c r="A14" s="163"/>
      <c r="B14" s="608" t="s">
        <v>513</v>
      </c>
      <c r="C14" s="608"/>
      <c r="D14" s="608"/>
      <c r="E14" s="608"/>
      <c r="F14" s="608"/>
      <c r="G14" s="512" t="s">
        <v>487</v>
      </c>
      <c r="H14" s="512"/>
      <c r="I14" s="512"/>
      <c r="J14" s="512" t="s">
        <v>514</v>
      </c>
      <c r="K14" s="512"/>
      <c r="L14" s="163"/>
      <c r="M14" s="163"/>
      <c r="N14" s="163"/>
      <c r="O14" s="163"/>
      <c r="P14" s="614" t="s">
        <v>515</v>
      </c>
      <c r="Q14" s="614"/>
      <c r="R14" s="614"/>
      <c r="S14" s="608"/>
      <c r="T14" s="608"/>
      <c r="U14" s="608"/>
      <c r="V14" s="608"/>
      <c r="W14" s="679" t="s">
        <v>516</v>
      </c>
      <c r="X14" s="679"/>
      <c r="Y14" s="679"/>
      <c r="Z14" s="679"/>
      <c r="AA14" s="679"/>
      <c r="AB14" s="679"/>
      <c r="AC14" s="679" t="s">
        <v>514</v>
      </c>
      <c r="AD14" s="679"/>
      <c r="AE14" s="679"/>
      <c r="AF14" s="679"/>
      <c r="AG14" s="679" t="s">
        <v>555</v>
      </c>
      <c r="AH14" s="679"/>
      <c r="AI14" s="163"/>
      <c r="AJ14" s="163"/>
      <c r="AK14" s="163"/>
      <c r="AL14" s="163"/>
      <c r="AM14" s="163"/>
      <c r="AN14" s="163"/>
      <c r="AO14" s="163"/>
      <c r="AP14" s="163"/>
      <c r="AQ14" s="163"/>
      <c r="AR14" s="163"/>
      <c r="AS14" s="163"/>
      <c r="AT14" s="163"/>
      <c r="AU14" s="163"/>
      <c r="AV14" s="163"/>
      <c r="AW14" s="163"/>
      <c r="AX14" s="163"/>
      <c r="AY14" s="163"/>
      <c r="AZ14" s="163"/>
      <c r="BA14" s="163"/>
    </row>
    <row r="15" spans="1:53" ht="18.95" customHeight="1" x14ac:dyDescent="0.25">
      <c r="A15" s="163"/>
      <c r="B15" s="682"/>
      <c r="C15" s="682"/>
      <c r="D15" s="682"/>
      <c r="E15" s="682"/>
      <c r="F15" s="682"/>
      <c r="G15" s="261" t="s">
        <v>517</v>
      </c>
      <c r="H15" s="261"/>
      <c r="I15" s="261"/>
      <c r="J15" s="262" t="s">
        <v>518</v>
      </c>
      <c r="K15" s="262" t="s">
        <v>519</v>
      </c>
      <c r="L15" s="163"/>
      <c r="M15" s="263" t="s">
        <v>476</v>
      </c>
      <c r="N15" s="264"/>
      <c r="O15" s="163"/>
      <c r="P15" s="608"/>
      <c r="Q15" s="608"/>
      <c r="R15" s="608"/>
      <c r="S15" s="608"/>
      <c r="T15" s="608"/>
      <c r="U15" s="608"/>
      <c r="V15" s="608"/>
      <c r="W15" s="611" t="s">
        <v>517</v>
      </c>
      <c r="X15" s="611"/>
      <c r="Y15" s="611"/>
      <c r="Z15" s="611"/>
      <c r="AA15" s="611"/>
      <c r="AB15" s="611"/>
      <c r="AC15" s="265" t="s">
        <v>520</v>
      </c>
      <c r="AD15" s="265" t="s">
        <v>521</v>
      </c>
      <c r="AE15" s="262" t="s">
        <v>518</v>
      </c>
      <c r="AF15" s="262" t="s">
        <v>519</v>
      </c>
      <c r="AG15" s="262" t="s">
        <v>520</v>
      </c>
      <c r="AH15" s="262" t="s">
        <v>521</v>
      </c>
      <c r="AI15" s="163"/>
      <c r="AJ15" s="163"/>
      <c r="AK15" s="163"/>
      <c r="AL15" s="163"/>
      <c r="AM15" s="163"/>
      <c r="AN15" s="163"/>
      <c r="AO15" s="163"/>
      <c r="AP15" s="163"/>
      <c r="AQ15" s="163"/>
      <c r="AR15" s="163"/>
      <c r="AS15" s="163"/>
      <c r="AT15" s="163"/>
      <c r="AU15" s="163"/>
      <c r="AV15" s="163"/>
      <c r="AW15" s="163"/>
      <c r="AX15" s="163"/>
      <c r="AY15" s="163"/>
      <c r="AZ15" s="163"/>
      <c r="BA15" s="163"/>
    </row>
    <row r="16" spans="1:53" ht="11.1" customHeight="1" x14ac:dyDescent="0.25">
      <c r="A16" s="266">
        <v>1</v>
      </c>
      <c r="B16" s="395" t="s">
        <v>25</v>
      </c>
      <c r="C16" s="394"/>
      <c r="D16" s="269" t="s">
        <v>522</v>
      </c>
      <c r="E16" s="394"/>
      <c r="F16" s="393" t="s">
        <v>26</v>
      </c>
      <c r="G16" s="271">
        <v>3</v>
      </c>
      <c r="H16" s="272" t="s">
        <v>24</v>
      </c>
      <c r="I16" s="271">
        <v>0</v>
      </c>
      <c r="J16" s="273">
        <v>0</v>
      </c>
      <c r="K16" s="273">
        <v>0</v>
      </c>
      <c r="L16" s="163"/>
      <c r="M16" s="392" t="s">
        <v>108</v>
      </c>
      <c r="N16" s="391"/>
      <c r="O16" s="266">
        <v>49</v>
      </c>
      <c r="P16" s="441" t="s">
        <v>611</v>
      </c>
      <c r="Q16" s="438"/>
      <c r="R16" s="439"/>
      <c r="S16" s="440" t="s">
        <v>522</v>
      </c>
      <c r="T16" s="439"/>
      <c r="U16" s="438"/>
      <c r="V16" s="437" t="s">
        <v>610</v>
      </c>
      <c r="W16" s="403"/>
      <c r="X16" s="281" t="s">
        <v>25</v>
      </c>
      <c r="Y16" s="282">
        <v>3</v>
      </c>
      <c r="Z16" s="269" t="s">
        <v>522</v>
      </c>
      <c r="AA16" s="282">
        <v>1</v>
      </c>
      <c r="AB16" s="284" t="s">
        <v>45</v>
      </c>
      <c r="AC16" s="285">
        <v>0</v>
      </c>
      <c r="AD16" s="285">
        <v>0</v>
      </c>
      <c r="AE16" s="285">
        <v>0</v>
      </c>
      <c r="AF16" s="285">
        <v>0</v>
      </c>
      <c r="AG16" s="285">
        <v>0</v>
      </c>
      <c r="AH16" s="285">
        <v>0</v>
      </c>
      <c r="AI16" s="266"/>
      <c r="AJ16" s="163"/>
      <c r="AK16" s="163"/>
      <c r="AL16" s="163"/>
      <c r="AM16" s="163"/>
      <c r="AN16" s="163"/>
      <c r="AO16" s="163"/>
      <c r="AP16" s="163"/>
      <c r="AQ16" s="163"/>
      <c r="AR16" s="163"/>
      <c r="AS16" s="163"/>
      <c r="AT16" s="163"/>
      <c r="AU16" s="163"/>
      <c r="AV16" s="163"/>
      <c r="AW16" s="163"/>
      <c r="AX16" s="163"/>
      <c r="AY16" s="163"/>
      <c r="AZ16" s="163"/>
      <c r="BA16" s="163"/>
    </row>
    <row r="17" spans="1:53" ht="11.1" customHeight="1" x14ac:dyDescent="0.25">
      <c r="A17" s="266">
        <v>2</v>
      </c>
      <c r="B17" s="390" t="s">
        <v>27</v>
      </c>
      <c r="C17" s="389"/>
      <c r="D17" s="302" t="s">
        <v>522</v>
      </c>
      <c r="E17" s="389"/>
      <c r="F17" s="388" t="s">
        <v>28</v>
      </c>
      <c r="G17" s="290">
        <v>2</v>
      </c>
      <c r="H17" s="291" t="s">
        <v>24</v>
      </c>
      <c r="I17" s="290">
        <v>1</v>
      </c>
      <c r="J17" s="292">
        <v>0</v>
      </c>
      <c r="K17" s="292">
        <v>0</v>
      </c>
      <c r="L17" s="163"/>
      <c r="M17" s="392" t="s">
        <v>115</v>
      </c>
      <c r="N17" s="391"/>
      <c r="O17" s="266">
        <v>50</v>
      </c>
      <c r="P17" s="519" t="s">
        <v>609</v>
      </c>
      <c r="Q17" s="389"/>
      <c r="R17" s="443"/>
      <c r="S17" s="444" t="s">
        <v>522</v>
      </c>
      <c r="T17" s="443"/>
      <c r="U17" s="389"/>
      <c r="V17" s="518" t="s">
        <v>608</v>
      </c>
      <c r="W17" s="397"/>
      <c r="X17" s="298" t="s">
        <v>49</v>
      </c>
      <c r="Y17" s="299">
        <v>6</v>
      </c>
      <c r="Z17" s="302" t="s">
        <v>522</v>
      </c>
      <c r="AA17" s="299">
        <v>5</v>
      </c>
      <c r="AB17" s="300" t="s">
        <v>54</v>
      </c>
      <c r="AC17" s="517">
        <v>0</v>
      </c>
      <c r="AD17" s="517">
        <v>0</v>
      </c>
      <c r="AE17" s="517">
        <v>0</v>
      </c>
      <c r="AF17" s="517">
        <v>0</v>
      </c>
      <c r="AG17" s="517">
        <v>0</v>
      </c>
      <c r="AH17" s="517">
        <v>0</v>
      </c>
      <c r="AI17" s="266"/>
      <c r="AJ17" s="163"/>
      <c r="AK17" s="163"/>
      <c r="AL17" s="163"/>
      <c r="AM17" s="163"/>
      <c r="AN17" s="163"/>
      <c r="AO17" s="163"/>
      <c r="AP17" s="163"/>
      <c r="AQ17" s="163"/>
      <c r="AR17" s="163"/>
      <c r="AS17" s="163"/>
      <c r="AT17" s="163"/>
      <c r="AU17" s="163"/>
      <c r="AV17" s="163"/>
      <c r="AW17" s="163"/>
      <c r="AX17" s="163"/>
      <c r="AY17" s="163"/>
      <c r="AZ17" s="163"/>
      <c r="BA17" s="163"/>
    </row>
    <row r="18" spans="1:53" ht="11.1" customHeight="1" x14ac:dyDescent="0.25">
      <c r="A18" s="266">
        <v>17</v>
      </c>
      <c r="B18" s="390" t="s">
        <v>25</v>
      </c>
      <c r="C18" s="389"/>
      <c r="D18" s="302" t="s">
        <v>522</v>
      </c>
      <c r="E18" s="389"/>
      <c r="F18" s="388" t="s">
        <v>27</v>
      </c>
      <c r="G18" s="290">
        <v>3</v>
      </c>
      <c r="H18" s="291" t="s">
        <v>24</v>
      </c>
      <c r="I18" s="290">
        <v>1</v>
      </c>
      <c r="J18" s="292">
        <v>0</v>
      </c>
      <c r="K18" s="292">
        <v>0</v>
      </c>
      <c r="L18" s="163"/>
      <c r="M18" s="392" t="s">
        <v>112</v>
      </c>
      <c r="N18" s="391"/>
      <c r="O18" s="266">
        <v>51</v>
      </c>
      <c r="P18" s="519" t="s">
        <v>607</v>
      </c>
      <c r="Q18" s="389"/>
      <c r="R18" s="443"/>
      <c r="S18" s="444" t="s">
        <v>522</v>
      </c>
      <c r="T18" s="443"/>
      <c r="U18" s="389"/>
      <c r="V18" s="518" t="s">
        <v>606</v>
      </c>
      <c r="W18" s="397"/>
      <c r="X18" s="298" t="s">
        <v>43</v>
      </c>
      <c r="Y18" s="299">
        <v>3</v>
      </c>
      <c r="Z18" s="302" t="s">
        <v>522</v>
      </c>
      <c r="AA18" s="299">
        <v>1</v>
      </c>
      <c r="AB18" s="300" t="s">
        <v>26</v>
      </c>
      <c r="AC18" s="517">
        <v>0</v>
      </c>
      <c r="AD18" s="517">
        <v>0</v>
      </c>
      <c r="AE18" s="517">
        <v>0</v>
      </c>
      <c r="AF18" s="517">
        <v>0</v>
      </c>
      <c r="AG18" s="517">
        <v>0</v>
      </c>
      <c r="AH18" s="517">
        <v>0</v>
      </c>
      <c r="AI18" s="266"/>
      <c r="AJ18" s="163"/>
      <c r="AK18" s="163"/>
      <c r="AL18" s="163"/>
      <c r="AM18" s="163"/>
      <c r="AN18" s="163"/>
      <c r="AO18" s="163"/>
      <c r="AP18" s="163"/>
      <c r="AQ18" s="163"/>
      <c r="AR18" s="163"/>
      <c r="AS18" s="163"/>
      <c r="AT18" s="163"/>
      <c r="AU18" s="163"/>
      <c r="AV18" s="163"/>
      <c r="AW18" s="163"/>
      <c r="AX18" s="163"/>
      <c r="AY18" s="163"/>
      <c r="AZ18" s="163"/>
      <c r="BA18" s="163"/>
    </row>
    <row r="19" spans="1:53" ht="11.1" customHeight="1" x14ac:dyDescent="0.25">
      <c r="A19" s="266">
        <v>18</v>
      </c>
      <c r="B19" s="390" t="s">
        <v>28</v>
      </c>
      <c r="C19" s="389"/>
      <c r="D19" s="302" t="s">
        <v>522</v>
      </c>
      <c r="E19" s="389"/>
      <c r="F19" s="388" t="s">
        <v>26</v>
      </c>
      <c r="G19" s="290">
        <v>1</v>
      </c>
      <c r="H19" s="291" t="s">
        <v>24</v>
      </c>
      <c r="I19" s="290">
        <v>4</v>
      </c>
      <c r="J19" s="292">
        <v>0</v>
      </c>
      <c r="K19" s="292">
        <v>0</v>
      </c>
      <c r="L19" s="163"/>
      <c r="M19" s="392" t="s">
        <v>120</v>
      </c>
      <c r="N19" s="391"/>
      <c r="O19" s="266">
        <v>52</v>
      </c>
      <c r="P19" s="519" t="s">
        <v>605</v>
      </c>
      <c r="Q19" s="389"/>
      <c r="R19" s="443"/>
      <c r="S19" s="444" t="s">
        <v>522</v>
      </c>
      <c r="T19" s="443"/>
      <c r="U19" s="389"/>
      <c r="V19" s="518" t="s">
        <v>604</v>
      </c>
      <c r="W19" s="397"/>
      <c r="X19" s="298" t="s">
        <v>57</v>
      </c>
      <c r="Y19" s="299">
        <v>2</v>
      </c>
      <c r="Z19" s="302" t="s">
        <v>522</v>
      </c>
      <c r="AA19" s="299">
        <v>1</v>
      </c>
      <c r="AB19" s="300" t="s">
        <v>51</v>
      </c>
      <c r="AC19" s="517">
        <v>0</v>
      </c>
      <c r="AD19" s="517">
        <v>0</v>
      </c>
      <c r="AE19" s="517">
        <v>0</v>
      </c>
      <c r="AF19" s="517">
        <v>0</v>
      </c>
      <c r="AG19" s="517">
        <v>0</v>
      </c>
      <c r="AH19" s="517">
        <v>0</v>
      </c>
      <c r="AI19" s="266"/>
      <c r="AJ19" s="163"/>
      <c r="AK19" s="163"/>
      <c r="AL19" s="163"/>
      <c r="AM19" s="163"/>
      <c r="AN19" s="163"/>
      <c r="AO19" s="163"/>
      <c r="AP19" s="163"/>
      <c r="AQ19" s="163"/>
      <c r="AR19" s="163"/>
      <c r="AS19" s="163"/>
      <c r="AT19" s="163"/>
      <c r="AU19" s="163"/>
      <c r="AV19" s="163"/>
      <c r="AW19" s="163"/>
      <c r="AX19" s="163"/>
      <c r="AY19" s="163"/>
      <c r="AZ19" s="163"/>
      <c r="BA19" s="163"/>
    </row>
    <row r="20" spans="1:53" ht="11.1" customHeight="1" x14ac:dyDescent="0.25">
      <c r="A20" s="266">
        <v>33</v>
      </c>
      <c r="B20" s="390" t="s">
        <v>26</v>
      </c>
      <c r="C20" s="389"/>
      <c r="D20" s="302" t="s">
        <v>522</v>
      </c>
      <c r="E20" s="389"/>
      <c r="F20" s="388" t="s">
        <v>27</v>
      </c>
      <c r="G20" s="290">
        <v>2</v>
      </c>
      <c r="H20" s="291" t="s">
        <v>24</v>
      </c>
      <c r="I20" s="290">
        <v>1</v>
      </c>
      <c r="J20" s="292">
        <v>0</v>
      </c>
      <c r="K20" s="292">
        <v>0</v>
      </c>
      <c r="L20" s="163"/>
      <c r="M20" s="163"/>
      <c r="N20" s="163"/>
      <c r="O20" s="266">
        <v>53</v>
      </c>
      <c r="P20" s="519" t="s">
        <v>603</v>
      </c>
      <c r="Q20" s="389"/>
      <c r="R20" s="443"/>
      <c r="S20" s="444" t="s">
        <v>522</v>
      </c>
      <c r="T20" s="443"/>
      <c r="U20" s="389"/>
      <c r="V20" s="518" t="s">
        <v>602</v>
      </c>
      <c r="W20" s="397"/>
      <c r="X20" s="298" t="s">
        <v>59</v>
      </c>
      <c r="Y20" s="299">
        <v>3</v>
      </c>
      <c r="Z20" s="302" t="s">
        <v>522</v>
      </c>
      <c r="AA20" s="299">
        <v>2</v>
      </c>
      <c r="AB20" s="300" t="s">
        <v>65</v>
      </c>
      <c r="AC20" s="517">
        <v>0</v>
      </c>
      <c r="AD20" s="517">
        <v>0</v>
      </c>
      <c r="AE20" s="517">
        <v>0</v>
      </c>
      <c r="AF20" s="517">
        <v>0</v>
      </c>
      <c r="AG20" s="517">
        <v>0</v>
      </c>
      <c r="AH20" s="517">
        <v>0</v>
      </c>
      <c r="AI20" s="266"/>
      <c r="AJ20" s="163"/>
      <c r="AK20" s="163"/>
      <c r="AL20" s="163"/>
      <c r="AM20" s="163"/>
      <c r="AN20" s="163"/>
      <c r="AO20" s="163"/>
      <c r="AP20" s="163"/>
      <c r="AQ20" s="163"/>
      <c r="AR20" s="163"/>
      <c r="AS20" s="163"/>
      <c r="AT20" s="163"/>
      <c r="AU20" s="163"/>
      <c r="AV20" s="163"/>
      <c r="AW20" s="163"/>
      <c r="AX20" s="163"/>
      <c r="AY20" s="163"/>
      <c r="AZ20" s="163"/>
      <c r="BA20" s="163"/>
    </row>
    <row r="21" spans="1:53" ht="11.1" customHeight="1" x14ac:dyDescent="0.25">
      <c r="A21" s="266">
        <v>34</v>
      </c>
      <c r="B21" s="387" t="s">
        <v>28</v>
      </c>
      <c r="C21" s="386"/>
      <c r="D21" s="305" t="s">
        <v>522</v>
      </c>
      <c r="E21" s="386"/>
      <c r="F21" s="385" t="s">
        <v>25</v>
      </c>
      <c r="G21" s="307">
        <v>0</v>
      </c>
      <c r="H21" s="308" t="s">
        <v>24</v>
      </c>
      <c r="I21" s="307">
        <v>5</v>
      </c>
      <c r="J21" s="539">
        <v>0</v>
      </c>
      <c r="K21" s="539">
        <v>0</v>
      </c>
      <c r="L21" s="163"/>
      <c r="M21" s="163"/>
      <c r="N21" s="163"/>
      <c r="O21" s="266">
        <v>54</v>
      </c>
      <c r="P21" s="519" t="s">
        <v>601</v>
      </c>
      <c r="Q21" s="389"/>
      <c r="R21" s="443"/>
      <c r="S21" s="444" t="s">
        <v>522</v>
      </c>
      <c r="T21" s="443"/>
      <c r="U21" s="389"/>
      <c r="V21" s="518" t="s">
        <v>600</v>
      </c>
      <c r="W21" s="397"/>
      <c r="X21" s="298" t="s">
        <v>70</v>
      </c>
      <c r="Y21" s="299">
        <v>3</v>
      </c>
      <c r="Z21" s="302" t="s">
        <v>522</v>
      </c>
      <c r="AA21" s="299">
        <v>1</v>
      </c>
      <c r="AB21" s="300" t="s">
        <v>75</v>
      </c>
      <c r="AC21" s="517">
        <v>0</v>
      </c>
      <c r="AD21" s="517">
        <v>0</v>
      </c>
      <c r="AE21" s="517">
        <v>0</v>
      </c>
      <c r="AF21" s="517">
        <v>0</v>
      </c>
      <c r="AG21" s="517">
        <v>0</v>
      </c>
      <c r="AH21" s="517">
        <v>0</v>
      </c>
      <c r="AI21" s="266"/>
      <c r="AJ21" s="163"/>
      <c r="AK21" s="163"/>
      <c r="AL21" s="163"/>
      <c r="AM21" s="163"/>
      <c r="AN21" s="163"/>
      <c r="AO21" s="163"/>
      <c r="AP21" s="163"/>
      <c r="AQ21" s="163"/>
      <c r="AR21" s="163"/>
      <c r="AS21" s="163"/>
      <c r="AT21" s="163"/>
      <c r="AU21" s="163"/>
      <c r="AV21" s="163"/>
      <c r="AW21" s="163"/>
      <c r="AX21" s="163"/>
      <c r="AY21" s="163"/>
      <c r="AZ21" s="163"/>
      <c r="BA21" s="163"/>
    </row>
    <row r="22" spans="1:53" ht="11.1" customHeight="1" x14ac:dyDescent="0.25">
      <c r="A22" s="163"/>
      <c r="B22" s="240"/>
      <c r="C22" s="240"/>
      <c r="D22" s="164"/>
      <c r="E22" s="164"/>
      <c r="F22" s="241"/>
      <c r="G22" s="310" t="s">
        <v>523</v>
      </c>
      <c r="H22" s="310"/>
      <c r="I22" s="310"/>
      <c r="J22" s="273">
        <f>SUM(J16:J21)</f>
        <v>0</v>
      </c>
      <c r="K22" s="273">
        <f>SUM(K16:K21)</f>
        <v>0</v>
      </c>
      <c r="L22" s="163"/>
      <c r="M22" s="163"/>
      <c r="N22" s="163"/>
      <c r="O22" s="266">
        <v>55</v>
      </c>
      <c r="P22" s="519" t="s">
        <v>599</v>
      </c>
      <c r="Q22" s="389"/>
      <c r="R22" s="443"/>
      <c r="S22" s="444" t="s">
        <v>522</v>
      </c>
      <c r="T22" s="443"/>
      <c r="U22" s="389"/>
      <c r="V22" s="518" t="s">
        <v>598</v>
      </c>
      <c r="W22" s="397"/>
      <c r="X22" s="298" t="s">
        <v>64</v>
      </c>
      <c r="Y22" s="299">
        <v>3</v>
      </c>
      <c r="Z22" s="302" t="s">
        <v>522</v>
      </c>
      <c r="AA22" s="299">
        <v>1</v>
      </c>
      <c r="AB22" s="300" t="s">
        <v>60</v>
      </c>
      <c r="AC22" s="517">
        <v>0</v>
      </c>
      <c r="AD22" s="517">
        <v>0</v>
      </c>
      <c r="AE22" s="517">
        <v>0</v>
      </c>
      <c r="AF22" s="517">
        <v>0</v>
      </c>
      <c r="AG22" s="517">
        <v>0</v>
      </c>
      <c r="AH22" s="517">
        <v>0</v>
      </c>
      <c r="AI22" s="266"/>
      <c r="AJ22" s="163"/>
      <c r="AK22" s="163"/>
      <c r="AL22" s="163"/>
      <c r="AM22" s="163"/>
      <c r="AN22" s="163"/>
      <c r="AO22" s="163"/>
      <c r="AP22" s="163"/>
      <c r="AQ22" s="163"/>
      <c r="AR22" s="163"/>
      <c r="AS22" s="163"/>
      <c r="AT22" s="163"/>
      <c r="AU22" s="163"/>
      <c r="AV22" s="163"/>
      <c r="AW22" s="163"/>
      <c r="AX22" s="163"/>
      <c r="AY22" s="163"/>
      <c r="AZ22" s="163"/>
      <c r="BA22" s="163"/>
    </row>
    <row r="23" spans="1:53" ht="11.1" customHeight="1" x14ac:dyDescent="0.25">
      <c r="A23" s="163"/>
      <c r="B23" s="240"/>
      <c r="C23" s="240"/>
      <c r="D23" s="164"/>
      <c r="E23" s="164"/>
      <c r="F23" s="241"/>
      <c r="G23" s="311" t="s">
        <v>524</v>
      </c>
      <c r="H23" s="311"/>
      <c r="I23" s="311"/>
      <c r="J23" s="312">
        <f>SUM(J22:K22)</f>
        <v>0</v>
      </c>
      <c r="K23" s="312"/>
      <c r="L23" s="163"/>
      <c r="M23" s="163"/>
      <c r="N23" s="163"/>
      <c r="O23" s="266">
        <v>56</v>
      </c>
      <c r="P23" s="531" t="s">
        <v>597</v>
      </c>
      <c r="Q23" s="386"/>
      <c r="R23" s="434"/>
      <c r="S23" s="435" t="s">
        <v>522</v>
      </c>
      <c r="T23" s="434"/>
      <c r="U23" s="386"/>
      <c r="V23" s="530" t="s">
        <v>596</v>
      </c>
      <c r="W23" s="529"/>
      <c r="X23" s="318" t="s">
        <v>74</v>
      </c>
      <c r="Y23" s="319">
        <v>1</v>
      </c>
      <c r="Z23" s="305" t="s">
        <v>522</v>
      </c>
      <c r="AA23" s="319">
        <v>3</v>
      </c>
      <c r="AB23" s="321" t="s">
        <v>69</v>
      </c>
      <c r="AC23" s="540">
        <v>0</v>
      </c>
      <c r="AD23" s="540">
        <v>0</v>
      </c>
      <c r="AE23" s="540">
        <v>0</v>
      </c>
      <c r="AF23" s="540">
        <v>0</v>
      </c>
      <c r="AG23" s="540">
        <v>0</v>
      </c>
      <c r="AH23" s="540">
        <v>0</v>
      </c>
      <c r="AI23" s="266"/>
      <c r="AJ23" s="163"/>
      <c r="AK23" s="163"/>
      <c r="AL23" s="163"/>
      <c r="AM23" s="163"/>
      <c r="AN23" s="163"/>
      <c r="AO23" s="163"/>
      <c r="AP23" s="163"/>
      <c r="AQ23" s="163"/>
      <c r="AR23" s="163"/>
      <c r="AS23" s="163"/>
      <c r="AT23" s="163"/>
      <c r="AU23" s="163"/>
      <c r="AV23" s="163"/>
      <c r="AW23" s="163"/>
      <c r="AX23" s="163"/>
      <c r="AY23" s="163"/>
      <c r="AZ23" s="163"/>
      <c r="BA23" s="163"/>
    </row>
    <row r="24" spans="1:53" ht="11.1" customHeight="1" x14ac:dyDescent="0.25">
      <c r="A24" s="163"/>
      <c r="B24" s="240"/>
      <c r="C24" s="240"/>
      <c r="D24" s="164"/>
      <c r="E24" s="164"/>
      <c r="F24" s="241"/>
      <c r="G24" s="241"/>
      <c r="H24" s="241"/>
      <c r="I24" s="241"/>
      <c r="J24" s="163"/>
      <c r="K24" s="164"/>
      <c r="L24" s="163"/>
      <c r="M24" s="163"/>
      <c r="N24" s="163"/>
      <c r="O24" s="163"/>
      <c r="P24" s="243"/>
      <c r="Q24" s="243"/>
      <c r="R24" s="243"/>
      <c r="S24" s="243"/>
      <c r="T24" s="243"/>
      <c r="U24" s="243"/>
      <c r="V24" s="243"/>
      <c r="W24" s="243"/>
      <c r="X24" s="243"/>
      <c r="Y24" s="243"/>
      <c r="Z24" s="243"/>
      <c r="AA24" s="243"/>
      <c r="AB24" s="513" t="s">
        <v>523</v>
      </c>
      <c r="AC24" s="513">
        <f>SUM(AC16:AC23)</f>
        <v>0</v>
      </c>
      <c r="AD24" s="513">
        <f>SUM(AD16:AD23)</f>
        <v>0</v>
      </c>
      <c r="AE24" s="513">
        <f>SUM(AE16:AE23)</f>
        <v>0</v>
      </c>
      <c r="AF24" s="513">
        <f>SUM(AF16:AF23)</f>
        <v>0</v>
      </c>
      <c r="AG24" s="266"/>
      <c r="AH24" s="266"/>
      <c r="AI24" s="266"/>
      <c r="AJ24" s="163"/>
      <c r="AK24" s="163"/>
      <c r="AL24" s="163"/>
      <c r="AM24" s="163"/>
      <c r="AN24" s="163"/>
      <c r="AO24" s="163"/>
      <c r="AP24" s="163"/>
      <c r="AQ24" s="163"/>
      <c r="AR24" s="163"/>
      <c r="AS24" s="163"/>
      <c r="AT24" s="163"/>
      <c r="AU24" s="163"/>
      <c r="AV24" s="163"/>
      <c r="AW24" s="163"/>
      <c r="AX24" s="163"/>
      <c r="AY24" s="163"/>
      <c r="AZ24" s="163"/>
      <c r="BA24" s="163"/>
    </row>
    <row r="25" spans="1:53" ht="11.1" customHeight="1" x14ac:dyDescent="0.25">
      <c r="A25" s="163"/>
      <c r="B25" s="608" t="s">
        <v>525</v>
      </c>
      <c r="C25" s="608"/>
      <c r="D25" s="608"/>
      <c r="E25" s="608"/>
      <c r="F25" s="608"/>
      <c r="G25" s="512" t="s">
        <v>487</v>
      </c>
      <c r="H25" s="512"/>
      <c r="I25" s="512"/>
      <c r="J25" s="512" t="s">
        <v>514</v>
      </c>
      <c r="K25" s="512"/>
      <c r="L25" s="163"/>
      <c r="M25" s="163"/>
      <c r="N25" s="163"/>
      <c r="O25" s="163"/>
      <c r="P25" s="243"/>
      <c r="Q25" s="243"/>
      <c r="R25" s="243"/>
      <c r="S25" s="243"/>
      <c r="T25" s="243"/>
      <c r="U25" s="243"/>
      <c r="V25" s="243"/>
      <c r="W25" s="243"/>
      <c r="X25" s="243"/>
      <c r="Y25" s="243"/>
      <c r="Z25" s="243"/>
      <c r="AA25" s="243"/>
      <c r="AB25" s="324" t="s">
        <v>524</v>
      </c>
      <c r="AC25" s="609">
        <f>SUM(AC24:AF24)</f>
        <v>0</v>
      </c>
      <c r="AD25" s="609"/>
      <c r="AE25" s="609"/>
      <c r="AF25" s="609"/>
      <c r="AG25" s="266"/>
      <c r="AH25" s="266"/>
      <c r="AI25" s="266"/>
      <c r="AJ25" s="163"/>
      <c r="AK25" s="163"/>
      <c r="AL25" s="163"/>
      <c r="AM25" s="163"/>
      <c r="AN25" s="163"/>
      <c r="AO25" s="163"/>
      <c r="AP25" s="163"/>
      <c r="AQ25" s="163"/>
      <c r="AR25" s="163"/>
      <c r="AS25" s="163"/>
      <c r="AT25" s="163"/>
      <c r="AU25" s="163"/>
      <c r="AV25" s="163"/>
      <c r="AW25" s="163"/>
      <c r="AX25" s="163"/>
      <c r="AY25" s="163"/>
      <c r="AZ25" s="163"/>
      <c r="BA25" s="163"/>
    </row>
    <row r="26" spans="1:53" ht="11.1" customHeight="1" x14ac:dyDescent="0.25">
      <c r="A26" s="163"/>
      <c r="B26" s="682"/>
      <c r="C26" s="682"/>
      <c r="D26" s="682"/>
      <c r="E26" s="682"/>
      <c r="F26" s="682"/>
      <c r="G26" s="261" t="s">
        <v>517</v>
      </c>
      <c r="H26" s="261"/>
      <c r="I26" s="261"/>
      <c r="J26" s="262" t="s">
        <v>518</v>
      </c>
      <c r="K26" s="262" t="s">
        <v>519</v>
      </c>
      <c r="L26" s="163"/>
      <c r="M26" s="263" t="s">
        <v>476</v>
      </c>
      <c r="N26" s="264"/>
      <c r="O26" s="163"/>
      <c r="P26" s="242"/>
      <c r="Q26" s="242"/>
      <c r="R26" s="242"/>
      <c r="S26" s="243"/>
      <c r="T26" s="243"/>
      <c r="U26" s="243"/>
      <c r="V26" s="244"/>
      <c r="W26" s="244"/>
      <c r="X26" s="244"/>
      <c r="Y26" s="244"/>
      <c r="Z26" s="244"/>
      <c r="AA26" s="244"/>
      <c r="AB26" s="163"/>
      <c r="AC26" s="163"/>
      <c r="AD26" s="163"/>
      <c r="AE26" s="163"/>
      <c r="AF26" s="163"/>
      <c r="AG26" s="163"/>
      <c r="AH26" s="163"/>
      <c r="AI26" s="266"/>
      <c r="AJ26" s="163"/>
      <c r="AK26" s="163"/>
      <c r="AL26" s="163"/>
      <c r="AM26" s="163"/>
      <c r="AN26" s="163"/>
      <c r="AO26" s="163"/>
      <c r="AP26" s="163"/>
      <c r="AQ26" s="163"/>
      <c r="AR26" s="163"/>
      <c r="AS26" s="163"/>
      <c r="AT26" s="163"/>
      <c r="AU26" s="163"/>
      <c r="AV26" s="163"/>
      <c r="AW26" s="163"/>
      <c r="AX26" s="163"/>
      <c r="AY26" s="163"/>
      <c r="AZ26" s="163"/>
      <c r="BA26" s="163"/>
    </row>
    <row r="27" spans="1:53" ht="11.1" customHeight="1" x14ac:dyDescent="0.25">
      <c r="A27" s="266">
        <v>3</v>
      </c>
      <c r="B27" s="409" t="s">
        <v>43</v>
      </c>
      <c r="C27" s="394"/>
      <c r="D27" s="269" t="s">
        <v>522</v>
      </c>
      <c r="E27" s="394"/>
      <c r="F27" s="408" t="s">
        <v>44</v>
      </c>
      <c r="G27" s="271">
        <v>4</v>
      </c>
      <c r="H27" s="272" t="s">
        <v>24</v>
      </c>
      <c r="I27" s="271">
        <v>2</v>
      </c>
      <c r="J27" s="273">
        <v>0</v>
      </c>
      <c r="K27" s="273">
        <v>0</v>
      </c>
      <c r="L27" s="163"/>
      <c r="M27" s="392" t="s">
        <v>123</v>
      </c>
      <c r="N27" s="391"/>
      <c r="O27" s="163"/>
      <c r="P27" s="242"/>
      <c r="Q27" s="242"/>
      <c r="R27" s="242"/>
      <c r="S27" s="243"/>
      <c r="T27" s="243"/>
      <c r="U27" s="243"/>
      <c r="V27" s="244"/>
      <c r="W27" s="244"/>
      <c r="X27" s="244"/>
      <c r="Y27" s="244"/>
      <c r="Z27" s="244"/>
      <c r="AA27" s="244"/>
      <c r="AB27" s="163"/>
      <c r="AC27" s="163"/>
      <c r="AD27" s="163"/>
      <c r="AE27" s="163"/>
      <c r="AF27" s="163"/>
      <c r="AG27" s="163"/>
      <c r="AH27" s="163"/>
      <c r="AI27" s="266"/>
      <c r="AJ27" s="163"/>
      <c r="AK27" s="163"/>
      <c r="AL27" s="163"/>
      <c r="AM27" s="163"/>
      <c r="AN27" s="163"/>
      <c r="AO27" s="163"/>
      <c r="AP27" s="163"/>
      <c r="AQ27" s="163"/>
      <c r="AR27" s="163"/>
      <c r="AS27" s="163"/>
      <c r="AT27" s="163"/>
      <c r="AU27" s="163"/>
      <c r="AV27" s="163"/>
      <c r="AW27" s="163"/>
      <c r="AX27" s="163"/>
      <c r="AY27" s="163"/>
      <c r="AZ27" s="163"/>
      <c r="BA27" s="163"/>
    </row>
    <row r="28" spans="1:53" ht="11.1" customHeight="1" x14ac:dyDescent="0.25">
      <c r="A28" s="266">
        <v>4</v>
      </c>
      <c r="B28" s="407" t="s">
        <v>45</v>
      </c>
      <c r="C28" s="389"/>
      <c r="D28" s="302" t="s">
        <v>522</v>
      </c>
      <c r="E28" s="389"/>
      <c r="F28" s="406" t="s">
        <v>46</v>
      </c>
      <c r="G28" s="290">
        <v>5</v>
      </c>
      <c r="H28" s="291" t="s">
        <v>24</v>
      </c>
      <c r="I28" s="290">
        <v>1</v>
      </c>
      <c r="J28" s="292">
        <v>0</v>
      </c>
      <c r="K28" s="292">
        <v>0</v>
      </c>
      <c r="L28" s="163"/>
      <c r="M28" s="392" t="s">
        <v>131</v>
      </c>
      <c r="N28" s="391"/>
      <c r="O28" s="163"/>
      <c r="P28" s="614" t="s">
        <v>526</v>
      </c>
      <c r="Q28" s="614"/>
      <c r="R28" s="614"/>
      <c r="S28" s="608"/>
      <c r="T28" s="608"/>
      <c r="U28" s="608"/>
      <c r="V28" s="608"/>
      <c r="W28" s="679" t="s">
        <v>516</v>
      </c>
      <c r="X28" s="679"/>
      <c r="Y28" s="679"/>
      <c r="Z28" s="679"/>
      <c r="AA28" s="679"/>
      <c r="AB28" s="679"/>
      <c r="AC28" s="679" t="s">
        <v>514</v>
      </c>
      <c r="AD28" s="679"/>
      <c r="AE28" s="679"/>
      <c r="AF28" s="679"/>
      <c r="AG28" s="679" t="s">
        <v>555</v>
      </c>
      <c r="AH28" s="679"/>
      <c r="AI28" s="266"/>
      <c r="AJ28" s="163"/>
      <c r="AK28" s="163"/>
      <c r="AL28" s="163"/>
      <c r="AM28" s="163"/>
      <c r="AN28" s="163"/>
      <c r="AO28" s="163"/>
      <c r="AP28" s="163"/>
      <c r="AQ28" s="163"/>
      <c r="AR28" s="163"/>
      <c r="AS28" s="163"/>
      <c r="AT28" s="163"/>
      <c r="AU28" s="163"/>
      <c r="AV28" s="163"/>
      <c r="AW28" s="163"/>
      <c r="AX28" s="163"/>
      <c r="AY28" s="163"/>
      <c r="AZ28" s="163"/>
      <c r="BA28" s="163"/>
    </row>
    <row r="29" spans="1:53" ht="11.1" customHeight="1" x14ac:dyDescent="0.25">
      <c r="A29" s="266">
        <v>19</v>
      </c>
      <c r="B29" s="407" t="s">
        <v>46</v>
      </c>
      <c r="C29" s="389"/>
      <c r="D29" s="302" t="s">
        <v>522</v>
      </c>
      <c r="E29" s="389"/>
      <c r="F29" s="406" t="s">
        <v>44</v>
      </c>
      <c r="G29" s="290">
        <v>0</v>
      </c>
      <c r="H29" s="291" t="s">
        <v>24</v>
      </c>
      <c r="I29" s="290">
        <v>3</v>
      </c>
      <c r="J29" s="292">
        <v>0</v>
      </c>
      <c r="K29" s="292">
        <v>0</v>
      </c>
      <c r="L29" s="163"/>
      <c r="M29" s="392" t="s">
        <v>127</v>
      </c>
      <c r="N29" s="391"/>
      <c r="O29" s="163"/>
      <c r="P29" s="608"/>
      <c r="Q29" s="608"/>
      <c r="R29" s="608"/>
      <c r="S29" s="608"/>
      <c r="T29" s="608"/>
      <c r="U29" s="608"/>
      <c r="V29" s="608"/>
      <c r="W29" s="611" t="s">
        <v>517</v>
      </c>
      <c r="X29" s="611"/>
      <c r="Y29" s="611"/>
      <c r="Z29" s="611"/>
      <c r="AA29" s="611"/>
      <c r="AB29" s="611"/>
      <c r="AC29" s="265" t="s">
        <v>520</v>
      </c>
      <c r="AD29" s="265" t="s">
        <v>521</v>
      </c>
      <c r="AE29" s="262" t="s">
        <v>518</v>
      </c>
      <c r="AF29" s="262" t="s">
        <v>519</v>
      </c>
      <c r="AG29" s="262" t="s">
        <v>520</v>
      </c>
      <c r="AH29" s="262" t="s">
        <v>521</v>
      </c>
      <c r="AI29" s="266"/>
      <c r="AJ29" s="163"/>
      <c r="AK29" s="163"/>
      <c r="AL29" s="163"/>
      <c r="AM29" s="163"/>
      <c r="AN29" s="163"/>
      <c r="AO29" s="163"/>
      <c r="AP29" s="163"/>
      <c r="AQ29" s="163"/>
      <c r="AR29" s="163"/>
      <c r="AS29" s="163"/>
      <c r="AT29" s="163"/>
      <c r="AU29" s="163"/>
      <c r="AV29" s="163"/>
      <c r="AW29" s="163"/>
      <c r="AX29" s="163"/>
      <c r="AY29" s="163"/>
      <c r="AZ29" s="163"/>
      <c r="BA29" s="163"/>
    </row>
    <row r="30" spans="1:53" ht="11.1" customHeight="1" x14ac:dyDescent="0.25">
      <c r="A30" s="266">
        <v>20</v>
      </c>
      <c r="B30" s="407" t="s">
        <v>43</v>
      </c>
      <c r="C30" s="389"/>
      <c r="D30" s="302" t="s">
        <v>522</v>
      </c>
      <c r="E30" s="389"/>
      <c r="F30" s="406" t="s">
        <v>45</v>
      </c>
      <c r="G30" s="290">
        <v>3</v>
      </c>
      <c r="H30" s="291" t="s">
        <v>24</v>
      </c>
      <c r="I30" s="290">
        <v>2</v>
      </c>
      <c r="J30" s="292">
        <v>0</v>
      </c>
      <c r="K30" s="292">
        <v>0</v>
      </c>
      <c r="L30" s="163"/>
      <c r="M30" s="392" t="s">
        <v>134</v>
      </c>
      <c r="N30" s="391"/>
      <c r="O30" s="266">
        <v>57</v>
      </c>
      <c r="P30" s="441" t="s">
        <v>595</v>
      </c>
      <c r="Q30" s="438"/>
      <c r="R30" s="439"/>
      <c r="S30" s="440" t="s">
        <v>522</v>
      </c>
      <c r="T30" s="439"/>
      <c r="U30" s="438"/>
      <c r="V30" s="437" t="s">
        <v>594</v>
      </c>
      <c r="W30" s="403"/>
      <c r="X30" s="281" t="s">
        <v>25</v>
      </c>
      <c r="Y30" s="282">
        <v>2</v>
      </c>
      <c r="Z30" s="269" t="s">
        <v>522</v>
      </c>
      <c r="AA30" s="282">
        <v>1</v>
      </c>
      <c r="AB30" s="284" t="s">
        <v>49</v>
      </c>
      <c r="AC30" s="285">
        <v>0</v>
      </c>
      <c r="AD30" s="285">
        <v>0</v>
      </c>
      <c r="AE30" s="285">
        <v>0</v>
      </c>
      <c r="AF30" s="285">
        <v>0</v>
      </c>
      <c r="AG30" s="285">
        <v>0</v>
      </c>
      <c r="AH30" s="285">
        <v>0</v>
      </c>
      <c r="AI30" s="266"/>
      <c r="AJ30" s="163"/>
      <c r="AK30" s="163"/>
      <c r="AL30" s="163"/>
      <c r="AM30" s="163"/>
      <c r="AN30" s="163"/>
      <c r="AO30" s="163"/>
      <c r="AP30" s="163"/>
      <c r="AQ30" s="163"/>
      <c r="AR30" s="163"/>
      <c r="AS30" s="163"/>
      <c r="AT30" s="163"/>
      <c r="AU30" s="163"/>
      <c r="AV30" s="163"/>
      <c r="AW30" s="163"/>
      <c r="AX30" s="163"/>
      <c r="AY30" s="163"/>
      <c r="AZ30" s="163"/>
      <c r="BA30" s="163"/>
    </row>
    <row r="31" spans="1:53" ht="11.1" customHeight="1" x14ac:dyDescent="0.25">
      <c r="A31" s="266">
        <v>35</v>
      </c>
      <c r="B31" s="407" t="s">
        <v>46</v>
      </c>
      <c r="C31" s="389"/>
      <c r="D31" s="302" t="s">
        <v>522</v>
      </c>
      <c r="E31" s="389"/>
      <c r="F31" s="406" t="s">
        <v>43</v>
      </c>
      <c r="G31" s="290">
        <v>0</v>
      </c>
      <c r="H31" s="291" t="s">
        <v>24</v>
      </c>
      <c r="I31" s="290">
        <v>5</v>
      </c>
      <c r="J31" s="292">
        <v>0</v>
      </c>
      <c r="K31" s="292">
        <v>0</v>
      </c>
      <c r="L31" s="163"/>
      <c r="M31" s="163"/>
      <c r="N31" s="163"/>
      <c r="O31" s="266">
        <v>58</v>
      </c>
      <c r="P31" s="519" t="s">
        <v>593</v>
      </c>
      <c r="Q31" s="389"/>
      <c r="R31" s="443"/>
      <c r="S31" s="444" t="s">
        <v>522</v>
      </c>
      <c r="T31" s="443"/>
      <c r="U31" s="389"/>
      <c r="V31" s="518" t="s">
        <v>592</v>
      </c>
      <c r="W31" s="397"/>
      <c r="X31" s="298" t="s">
        <v>59</v>
      </c>
      <c r="Y31" s="299">
        <v>1</v>
      </c>
      <c r="Z31" s="302" t="s">
        <v>522</v>
      </c>
      <c r="AA31" s="299">
        <v>3</v>
      </c>
      <c r="AB31" s="300" t="s">
        <v>70</v>
      </c>
      <c r="AC31" s="517">
        <v>0</v>
      </c>
      <c r="AD31" s="517">
        <v>0</v>
      </c>
      <c r="AE31" s="517">
        <v>0</v>
      </c>
      <c r="AF31" s="517">
        <v>0</v>
      </c>
      <c r="AG31" s="517">
        <v>0</v>
      </c>
      <c r="AH31" s="517">
        <v>0</v>
      </c>
      <c r="AI31" s="266"/>
      <c r="AJ31" s="163"/>
      <c r="AK31" s="163"/>
      <c r="AL31" s="163"/>
      <c r="AM31" s="163"/>
      <c r="AN31" s="163"/>
      <c r="AO31" s="163"/>
      <c r="AP31" s="163"/>
      <c r="AQ31" s="163"/>
      <c r="AR31" s="163"/>
      <c r="AS31" s="163"/>
      <c r="AT31" s="163"/>
      <c r="AU31" s="163"/>
      <c r="AV31" s="163"/>
      <c r="AW31" s="163"/>
      <c r="AX31" s="163"/>
      <c r="AY31" s="163"/>
      <c r="AZ31" s="163"/>
      <c r="BA31" s="163"/>
    </row>
    <row r="32" spans="1:53" ht="11.1" customHeight="1" x14ac:dyDescent="0.25">
      <c r="A32" s="266">
        <v>36</v>
      </c>
      <c r="B32" s="405" t="s">
        <v>44</v>
      </c>
      <c r="C32" s="386"/>
      <c r="D32" s="305" t="s">
        <v>522</v>
      </c>
      <c r="E32" s="386"/>
      <c r="F32" s="404" t="s">
        <v>45</v>
      </c>
      <c r="G32" s="307">
        <v>2</v>
      </c>
      <c r="H32" s="308" t="s">
        <v>24</v>
      </c>
      <c r="I32" s="307">
        <v>2</v>
      </c>
      <c r="J32" s="539">
        <v>0</v>
      </c>
      <c r="K32" s="539">
        <v>0</v>
      </c>
      <c r="L32" s="163"/>
      <c r="M32" s="163"/>
      <c r="N32" s="163"/>
      <c r="O32" s="266">
        <v>59</v>
      </c>
      <c r="P32" s="519" t="s">
        <v>591</v>
      </c>
      <c r="Q32" s="389"/>
      <c r="R32" s="443"/>
      <c r="S32" s="444" t="s">
        <v>522</v>
      </c>
      <c r="T32" s="443"/>
      <c r="U32" s="389"/>
      <c r="V32" s="518" t="s">
        <v>590</v>
      </c>
      <c r="W32" s="397"/>
      <c r="X32" s="298" t="s">
        <v>43</v>
      </c>
      <c r="Y32" s="299">
        <v>3</v>
      </c>
      <c r="Z32" s="302" t="s">
        <v>522</v>
      </c>
      <c r="AA32" s="299">
        <v>2</v>
      </c>
      <c r="AB32" s="300" t="s">
        <v>57</v>
      </c>
      <c r="AC32" s="517">
        <v>0</v>
      </c>
      <c r="AD32" s="517">
        <v>0</v>
      </c>
      <c r="AE32" s="517">
        <v>0</v>
      </c>
      <c r="AF32" s="517">
        <v>0</v>
      </c>
      <c r="AG32" s="517">
        <v>0</v>
      </c>
      <c r="AH32" s="517">
        <v>0</v>
      </c>
      <c r="AI32" s="266"/>
      <c r="AJ32" s="163"/>
      <c r="AK32" s="163"/>
      <c r="AL32" s="163"/>
      <c r="AM32" s="163"/>
      <c r="AN32" s="163"/>
      <c r="AO32" s="163"/>
      <c r="AP32" s="163"/>
      <c r="AQ32" s="163"/>
      <c r="AR32" s="163"/>
      <c r="AS32" s="163"/>
      <c r="AT32" s="163"/>
      <c r="AU32" s="163"/>
      <c r="AV32" s="163"/>
      <c r="AW32" s="163"/>
      <c r="AX32" s="163"/>
      <c r="AY32" s="163"/>
      <c r="AZ32" s="163"/>
      <c r="BA32" s="163"/>
    </row>
    <row r="33" spans="1:53" ht="11.1" customHeight="1" x14ac:dyDescent="0.25">
      <c r="A33" s="163"/>
      <c r="B33" s="240"/>
      <c r="C33" s="240"/>
      <c r="D33" s="164"/>
      <c r="E33" s="164"/>
      <c r="F33" s="241"/>
      <c r="G33" s="310" t="s">
        <v>523</v>
      </c>
      <c r="H33" s="310"/>
      <c r="I33" s="310"/>
      <c r="J33" s="273">
        <f>SUM(J27:J32)</f>
        <v>0</v>
      </c>
      <c r="K33" s="273">
        <f>SUM(K27:K32)</f>
        <v>0</v>
      </c>
      <c r="L33" s="163"/>
      <c r="M33" s="163"/>
      <c r="N33" s="163"/>
      <c r="O33" s="266">
        <v>60</v>
      </c>
      <c r="P33" s="531" t="s">
        <v>589</v>
      </c>
      <c r="Q33" s="386"/>
      <c r="R33" s="434"/>
      <c r="S33" s="435" t="s">
        <v>522</v>
      </c>
      <c r="T33" s="434"/>
      <c r="U33" s="386"/>
      <c r="V33" s="530" t="s">
        <v>588</v>
      </c>
      <c r="W33" s="529"/>
      <c r="X33" s="318" t="s">
        <v>64</v>
      </c>
      <c r="Y33" s="319">
        <v>2</v>
      </c>
      <c r="Z33" s="305" t="s">
        <v>522</v>
      </c>
      <c r="AA33" s="319">
        <v>3</v>
      </c>
      <c r="AB33" s="321" t="s">
        <v>69</v>
      </c>
      <c r="AC33" s="540">
        <v>0</v>
      </c>
      <c r="AD33" s="540">
        <v>0</v>
      </c>
      <c r="AE33" s="540">
        <v>0</v>
      </c>
      <c r="AF33" s="540">
        <v>0</v>
      </c>
      <c r="AG33" s="540">
        <v>0</v>
      </c>
      <c r="AH33" s="540">
        <v>0</v>
      </c>
      <c r="AI33" s="266"/>
      <c r="AJ33" s="163"/>
      <c r="AK33" s="163"/>
      <c r="AL33" s="163"/>
      <c r="AM33" s="163"/>
      <c r="AN33" s="163"/>
      <c r="AO33" s="163"/>
      <c r="AP33" s="163"/>
      <c r="AQ33" s="163"/>
      <c r="AR33" s="163"/>
      <c r="AS33" s="163"/>
      <c r="AT33" s="163"/>
      <c r="AU33" s="163"/>
      <c r="AV33" s="163"/>
      <c r="AW33" s="163"/>
      <c r="AX33" s="163"/>
      <c r="AY33" s="163"/>
      <c r="AZ33" s="163"/>
      <c r="BA33" s="163"/>
    </row>
    <row r="34" spans="1:53" ht="11.1" customHeight="1" x14ac:dyDescent="0.25">
      <c r="A34" s="163"/>
      <c r="B34" s="240"/>
      <c r="C34" s="240"/>
      <c r="D34" s="164"/>
      <c r="E34" s="164"/>
      <c r="F34" s="241"/>
      <c r="G34" s="311" t="s">
        <v>524</v>
      </c>
      <c r="H34" s="311"/>
      <c r="I34" s="311"/>
      <c r="J34" s="312">
        <f>SUM(J33:K33)</f>
        <v>0</v>
      </c>
      <c r="K34" s="312"/>
      <c r="L34" s="163"/>
      <c r="M34" s="163"/>
      <c r="N34" s="163"/>
      <c r="O34" s="163"/>
      <c r="P34" s="331"/>
      <c r="Q34" s="331"/>
      <c r="R34" s="331"/>
      <c r="S34" s="243"/>
      <c r="T34" s="243"/>
      <c r="U34" s="243"/>
      <c r="V34" s="332"/>
      <c r="W34" s="332"/>
      <c r="X34" s="332"/>
      <c r="Y34" s="332"/>
      <c r="Z34" s="332"/>
      <c r="AA34" s="332"/>
      <c r="AB34" s="513" t="s">
        <v>523</v>
      </c>
      <c r="AC34" s="513">
        <f>SUM(AC30:AC33)</f>
        <v>0</v>
      </c>
      <c r="AD34" s="513">
        <f>SUM(AD30:AD33)</f>
        <v>0</v>
      </c>
      <c r="AE34" s="513">
        <f>SUM(AE30:AE33)</f>
        <v>0</v>
      </c>
      <c r="AF34" s="513">
        <f>SUM(AF30:AF33)</f>
        <v>0</v>
      </c>
      <c r="AG34" s="266"/>
      <c r="AH34" s="266"/>
      <c r="AI34" s="266"/>
      <c r="AJ34" s="163"/>
      <c r="AK34" s="163"/>
      <c r="AL34" s="163"/>
      <c r="AM34" s="163"/>
      <c r="AN34" s="163"/>
      <c r="AO34" s="163"/>
      <c r="AP34" s="163"/>
      <c r="AQ34" s="163"/>
      <c r="AR34" s="163"/>
      <c r="AS34" s="163"/>
      <c r="AT34" s="163"/>
      <c r="AU34" s="163"/>
      <c r="AV34" s="163"/>
      <c r="AW34" s="163"/>
      <c r="AX34" s="163"/>
      <c r="AY34" s="163"/>
      <c r="AZ34" s="163"/>
      <c r="BA34" s="163"/>
    </row>
    <row r="35" spans="1:53" ht="11.1" customHeight="1" x14ac:dyDescent="0.25">
      <c r="A35" s="163"/>
      <c r="B35" s="240"/>
      <c r="C35" s="240"/>
      <c r="D35" s="164"/>
      <c r="E35" s="164"/>
      <c r="F35" s="241"/>
      <c r="G35" s="241"/>
      <c r="H35" s="241"/>
      <c r="I35" s="241"/>
      <c r="J35" s="163"/>
      <c r="K35" s="164"/>
      <c r="L35" s="163"/>
      <c r="M35" s="163"/>
      <c r="N35" s="163"/>
      <c r="O35" s="163"/>
      <c r="P35" s="331"/>
      <c r="Q35" s="331"/>
      <c r="R35" s="331"/>
      <c r="S35" s="243"/>
      <c r="T35" s="243"/>
      <c r="U35" s="243"/>
      <c r="V35" s="332"/>
      <c r="W35" s="332"/>
      <c r="X35" s="332"/>
      <c r="Y35" s="332"/>
      <c r="Z35" s="332"/>
      <c r="AA35" s="332"/>
      <c r="AB35" s="324" t="s">
        <v>524</v>
      </c>
      <c r="AC35" s="609">
        <f>SUM(AC34:AF34)</f>
        <v>0</v>
      </c>
      <c r="AD35" s="609"/>
      <c r="AE35" s="609"/>
      <c r="AF35" s="609"/>
      <c r="AG35" s="266"/>
      <c r="AH35" s="266"/>
      <c r="AI35" s="266"/>
      <c r="AJ35" s="163"/>
      <c r="AK35" s="163"/>
      <c r="AL35" s="163"/>
      <c r="AM35" s="163"/>
      <c r="AN35" s="163"/>
      <c r="AO35" s="163"/>
      <c r="AP35" s="163"/>
      <c r="AQ35" s="163"/>
      <c r="AR35" s="163"/>
      <c r="AS35" s="163"/>
      <c r="AT35" s="163"/>
      <c r="AU35" s="163"/>
      <c r="AV35" s="163"/>
      <c r="AW35" s="163"/>
      <c r="AX35" s="163"/>
      <c r="AY35" s="163"/>
      <c r="AZ35" s="163"/>
      <c r="BA35" s="163"/>
    </row>
    <row r="36" spans="1:53" ht="11.1" customHeight="1" x14ac:dyDescent="0.25">
      <c r="A36" s="163"/>
      <c r="B36" s="608" t="s">
        <v>527</v>
      </c>
      <c r="C36" s="608"/>
      <c r="D36" s="608"/>
      <c r="E36" s="608"/>
      <c r="F36" s="608"/>
      <c r="G36" s="512" t="s">
        <v>487</v>
      </c>
      <c r="H36" s="512"/>
      <c r="I36" s="512"/>
      <c r="J36" s="512" t="s">
        <v>514</v>
      </c>
      <c r="K36" s="512"/>
      <c r="L36" s="163"/>
      <c r="M36" s="163"/>
      <c r="N36" s="163"/>
      <c r="O36" s="163"/>
      <c r="P36" s="242"/>
      <c r="Q36" s="242"/>
      <c r="R36" s="242"/>
      <c r="S36" s="243"/>
      <c r="T36" s="243"/>
      <c r="U36" s="243"/>
      <c r="V36" s="244"/>
      <c r="W36" s="244"/>
      <c r="X36" s="244"/>
      <c r="Y36" s="244"/>
      <c r="Z36" s="244"/>
      <c r="AA36" s="244"/>
      <c r="AB36" s="163"/>
      <c r="AC36" s="163"/>
      <c r="AD36" s="163"/>
      <c r="AE36" s="163"/>
      <c r="AF36" s="163"/>
      <c r="AG36" s="163"/>
      <c r="AH36" s="163"/>
      <c r="AI36" s="266"/>
      <c r="AJ36" s="163"/>
      <c r="AK36" s="163"/>
      <c r="AL36" s="163"/>
      <c r="AM36" s="163"/>
      <c r="AN36" s="163"/>
      <c r="AO36" s="163"/>
      <c r="AP36" s="163"/>
      <c r="AQ36" s="163"/>
      <c r="AR36" s="163"/>
      <c r="AS36" s="163"/>
      <c r="AT36" s="163"/>
      <c r="AU36" s="163"/>
      <c r="AV36" s="163"/>
      <c r="AW36" s="163"/>
      <c r="AX36" s="163"/>
      <c r="AY36" s="163"/>
      <c r="AZ36" s="163"/>
      <c r="BA36" s="163"/>
    </row>
    <row r="37" spans="1:53" ht="11.1" customHeight="1" x14ac:dyDescent="0.25">
      <c r="A37" s="163"/>
      <c r="B37" s="608"/>
      <c r="C37" s="608"/>
      <c r="D37" s="608"/>
      <c r="E37" s="608"/>
      <c r="F37" s="608"/>
      <c r="G37" s="261" t="s">
        <v>517</v>
      </c>
      <c r="H37" s="261"/>
      <c r="I37" s="261"/>
      <c r="J37" s="262" t="s">
        <v>518</v>
      </c>
      <c r="K37" s="262" t="s">
        <v>519</v>
      </c>
      <c r="L37" s="163"/>
      <c r="M37" s="263" t="s">
        <v>476</v>
      </c>
      <c r="N37" s="264"/>
      <c r="O37" s="163"/>
      <c r="P37" s="242"/>
      <c r="Q37" s="242"/>
      <c r="R37" s="242"/>
      <c r="S37" s="243"/>
      <c r="T37" s="243"/>
      <c r="U37" s="243"/>
      <c r="V37" s="244"/>
      <c r="W37" s="244"/>
      <c r="X37" s="244"/>
      <c r="Y37" s="244"/>
      <c r="Z37" s="244"/>
      <c r="AA37" s="244"/>
      <c r="AB37" s="163"/>
      <c r="AC37" s="163"/>
      <c r="AD37" s="163"/>
      <c r="AE37" s="163"/>
      <c r="AF37" s="163"/>
      <c r="AG37" s="163"/>
      <c r="AH37" s="163"/>
      <c r="AI37" s="266"/>
      <c r="AJ37" s="163"/>
      <c r="AK37" s="163"/>
      <c r="AL37" s="163"/>
      <c r="AM37" s="163"/>
      <c r="AN37" s="163"/>
      <c r="AO37" s="163"/>
      <c r="AP37" s="163"/>
      <c r="AQ37" s="163"/>
      <c r="AR37" s="163"/>
      <c r="AS37" s="163"/>
      <c r="AT37" s="163"/>
      <c r="AU37" s="163"/>
      <c r="AV37" s="163"/>
      <c r="AW37" s="163"/>
      <c r="AX37" s="163"/>
      <c r="AY37" s="163"/>
      <c r="AZ37" s="163"/>
      <c r="BA37" s="163"/>
    </row>
    <row r="38" spans="1:53" ht="11.1" customHeight="1" x14ac:dyDescent="0.25">
      <c r="A38" s="266">
        <v>5</v>
      </c>
      <c r="B38" s="395" t="s">
        <v>49</v>
      </c>
      <c r="C38" s="394"/>
      <c r="D38" s="269" t="s">
        <v>522</v>
      </c>
      <c r="E38" s="394"/>
      <c r="F38" s="393" t="s">
        <v>50</v>
      </c>
      <c r="G38" s="271">
        <v>3</v>
      </c>
      <c r="H38" s="272" t="s">
        <v>24</v>
      </c>
      <c r="I38" s="271">
        <v>2</v>
      </c>
      <c r="J38" s="273">
        <v>0</v>
      </c>
      <c r="K38" s="273">
        <v>0</v>
      </c>
      <c r="L38" s="163"/>
      <c r="M38" s="392" t="s">
        <v>137</v>
      </c>
      <c r="N38" s="391"/>
      <c r="O38" s="163"/>
      <c r="P38" s="614" t="s">
        <v>528</v>
      </c>
      <c r="Q38" s="614"/>
      <c r="R38" s="614"/>
      <c r="S38" s="608"/>
      <c r="T38" s="608"/>
      <c r="U38" s="608"/>
      <c r="V38" s="608"/>
      <c r="W38" s="679" t="s">
        <v>487</v>
      </c>
      <c r="X38" s="679"/>
      <c r="Y38" s="679"/>
      <c r="Z38" s="679"/>
      <c r="AA38" s="679"/>
      <c r="AB38" s="679"/>
      <c r="AC38" s="679" t="s">
        <v>514</v>
      </c>
      <c r="AD38" s="679"/>
      <c r="AE38" s="679"/>
      <c r="AF38" s="679"/>
      <c r="AG38" s="679" t="s">
        <v>555</v>
      </c>
      <c r="AH38" s="679"/>
      <c r="AI38" s="266"/>
      <c r="AJ38" s="163"/>
      <c r="AK38" s="163"/>
      <c r="AL38" s="163"/>
      <c r="AM38" s="163"/>
      <c r="AN38" s="163"/>
      <c r="AO38" s="163"/>
      <c r="AP38" s="163"/>
      <c r="AQ38" s="163"/>
      <c r="AR38" s="163"/>
      <c r="AS38" s="163"/>
      <c r="AT38" s="163"/>
      <c r="AU38" s="163"/>
      <c r="AV38" s="163"/>
      <c r="AW38" s="163"/>
      <c r="AX38" s="163"/>
      <c r="AY38" s="163"/>
      <c r="AZ38" s="163"/>
      <c r="BA38" s="163"/>
    </row>
    <row r="39" spans="1:53" ht="11.1" customHeight="1" x14ac:dyDescent="0.25">
      <c r="A39" s="266">
        <v>6</v>
      </c>
      <c r="B39" s="390" t="s">
        <v>51</v>
      </c>
      <c r="C39" s="389"/>
      <c r="D39" s="302" t="s">
        <v>522</v>
      </c>
      <c r="E39" s="389"/>
      <c r="F39" s="388" t="s">
        <v>52</v>
      </c>
      <c r="G39" s="290">
        <v>4</v>
      </c>
      <c r="H39" s="291" t="s">
        <v>24</v>
      </c>
      <c r="I39" s="290">
        <v>2</v>
      </c>
      <c r="J39" s="292">
        <v>0</v>
      </c>
      <c r="K39" s="292">
        <v>0</v>
      </c>
      <c r="L39" s="163"/>
      <c r="M39" s="392" t="s">
        <v>144</v>
      </c>
      <c r="N39" s="391"/>
      <c r="O39" s="163"/>
      <c r="P39" s="608"/>
      <c r="Q39" s="608"/>
      <c r="R39" s="608"/>
      <c r="S39" s="608"/>
      <c r="T39" s="608"/>
      <c r="U39" s="608"/>
      <c r="V39" s="608"/>
      <c r="W39" s="611" t="s">
        <v>529</v>
      </c>
      <c r="X39" s="611"/>
      <c r="Y39" s="611"/>
      <c r="Z39" s="538"/>
      <c r="AA39" s="538"/>
      <c r="AB39" s="538" t="s">
        <v>529</v>
      </c>
      <c r="AC39" s="265" t="s">
        <v>520</v>
      </c>
      <c r="AD39" s="265" t="s">
        <v>521</v>
      </c>
      <c r="AE39" s="262" t="s">
        <v>518</v>
      </c>
      <c r="AF39" s="262" t="s">
        <v>519</v>
      </c>
      <c r="AG39" s="262" t="s">
        <v>520</v>
      </c>
      <c r="AH39" s="262" t="s">
        <v>521</v>
      </c>
      <c r="AI39" s="266"/>
      <c r="AJ39" s="163"/>
      <c r="AK39" s="163"/>
      <c r="AL39" s="163"/>
      <c r="AM39" s="163"/>
      <c r="AN39" s="163"/>
      <c r="AO39" s="163"/>
      <c r="AP39" s="163"/>
      <c r="AQ39" s="163"/>
      <c r="AR39" s="163"/>
      <c r="AS39" s="163"/>
      <c r="AT39" s="163"/>
      <c r="AU39" s="163"/>
      <c r="AV39" s="163"/>
      <c r="AW39" s="163"/>
      <c r="AX39" s="163"/>
      <c r="AY39" s="163"/>
      <c r="AZ39" s="163"/>
      <c r="BA39" s="163"/>
    </row>
    <row r="40" spans="1:53" ht="11.1" customHeight="1" x14ac:dyDescent="0.25">
      <c r="A40" s="266">
        <v>21</v>
      </c>
      <c r="B40" s="390" t="s">
        <v>49</v>
      </c>
      <c r="C40" s="389"/>
      <c r="D40" s="302" t="s">
        <v>522</v>
      </c>
      <c r="E40" s="389"/>
      <c r="F40" s="388" t="s">
        <v>51</v>
      </c>
      <c r="G40" s="290">
        <v>2</v>
      </c>
      <c r="H40" s="291" t="s">
        <v>24</v>
      </c>
      <c r="I40" s="290">
        <v>2</v>
      </c>
      <c r="J40" s="292">
        <v>0</v>
      </c>
      <c r="K40" s="292">
        <v>0</v>
      </c>
      <c r="L40" s="163"/>
      <c r="M40" s="392" t="s">
        <v>141</v>
      </c>
      <c r="N40" s="391"/>
      <c r="O40" s="266">
        <v>61</v>
      </c>
      <c r="P40" s="441" t="s">
        <v>587</v>
      </c>
      <c r="Q40" s="438"/>
      <c r="R40" s="439"/>
      <c r="S40" s="440" t="s">
        <v>522</v>
      </c>
      <c r="T40" s="439"/>
      <c r="U40" s="438"/>
      <c r="V40" s="437" t="s">
        <v>586</v>
      </c>
      <c r="W40" s="403"/>
      <c r="X40" s="281" t="s">
        <v>25</v>
      </c>
      <c r="Y40" s="282">
        <v>3</v>
      </c>
      <c r="Z40" s="269" t="s">
        <v>522</v>
      </c>
      <c r="AA40" s="282">
        <v>2</v>
      </c>
      <c r="AB40" s="284" t="s">
        <v>70</v>
      </c>
      <c r="AC40" s="285">
        <v>0</v>
      </c>
      <c r="AD40" s="285">
        <v>0</v>
      </c>
      <c r="AE40" s="285">
        <v>0</v>
      </c>
      <c r="AF40" s="285">
        <v>0</v>
      </c>
      <c r="AG40" s="285">
        <v>0</v>
      </c>
      <c r="AH40" s="285">
        <v>0</v>
      </c>
      <c r="AI40" s="266"/>
      <c r="AJ40" s="163"/>
      <c r="AK40" s="163"/>
      <c r="AL40" s="163"/>
      <c r="AM40" s="163"/>
      <c r="AN40" s="163"/>
      <c r="AO40" s="163"/>
      <c r="AP40" s="163"/>
      <c r="AQ40" s="163"/>
      <c r="AR40" s="163"/>
      <c r="AS40" s="163"/>
      <c r="AT40" s="163"/>
      <c r="AU40" s="163"/>
      <c r="AV40" s="163"/>
      <c r="AW40" s="163"/>
      <c r="AX40" s="163"/>
      <c r="AY40" s="163"/>
      <c r="AZ40" s="163"/>
      <c r="BA40" s="163"/>
    </row>
    <row r="41" spans="1:53" ht="11.1" customHeight="1" x14ac:dyDescent="0.25">
      <c r="A41" s="266">
        <v>22</v>
      </c>
      <c r="B41" s="390" t="s">
        <v>52</v>
      </c>
      <c r="C41" s="389"/>
      <c r="D41" s="302" t="s">
        <v>522</v>
      </c>
      <c r="E41" s="389"/>
      <c r="F41" s="388" t="s">
        <v>50</v>
      </c>
      <c r="G41" s="290">
        <v>1</v>
      </c>
      <c r="H41" s="291" t="s">
        <v>24</v>
      </c>
      <c r="I41" s="290">
        <v>2</v>
      </c>
      <c r="J41" s="292">
        <v>0</v>
      </c>
      <c r="K41" s="292">
        <v>0</v>
      </c>
      <c r="L41" s="163"/>
      <c r="M41" s="392" t="s">
        <v>148</v>
      </c>
      <c r="N41" s="391"/>
      <c r="O41" s="266">
        <v>62</v>
      </c>
      <c r="P41" s="531" t="s">
        <v>585</v>
      </c>
      <c r="Q41" s="386"/>
      <c r="R41" s="434"/>
      <c r="S41" s="435" t="s">
        <v>522</v>
      </c>
      <c r="T41" s="434"/>
      <c r="U41" s="386"/>
      <c r="V41" s="530" t="s">
        <v>584</v>
      </c>
      <c r="W41" s="529"/>
      <c r="X41" s="318" t="s">
        <v>43</v>
      </c>
      <c r="Y41" s="319">
        <v>1</v>
      </c>
      <c r="Z41" s="305" t="s">
        <v>522</v>
      </c>
      <c r="AA41" s="319">
        <v>2</v>
      </c>
      <c r="AB41" s="321" t="s">
        <v>69</v>
      </c>
      <c r="AC41" s="540">
        <v>0</v>
      </c>
      <c r="AD41" s="540">
        <v>0</v>
      </c>
      <c r="AE41" s="540">
        <v>0</v>
      </c>
      <c r="AF41" s="540">
        <v>0</v>
      </c>
      <c r="AG41" s="540">
        <v>0</v>
      </c>
      <c r="AH41" s="540">
        <v>0</v>
      </c>
      <c r="AI41" s="266"/>
      <c r="AJ41" s="163"/>
      <c r="AK41" s="163"/>
      <c r="AL41" s="163"/>
      <c r="AM41" s="163"/>
      <c r="AN41" s="163"/>
      <c r="AO41" s="163"/>
      <c r="AP41" s="163"/>
      <c r="AQ41" s="163"/>
      <c r="AR41" s="163"/>
      <c r="AS41" s="163"/>
      <c r="AT41" s="163"/>
      <c r="AU41" s="163"/>
      <c r="AV41" s="163"/>
      <c r="AW41" s="163"/>
      <c r="AX41" s="163"/>
      <c r="AY41" s="163"/>
      <c r="AZ41" s="163"/>
      <c r="BA41" s="163"/>
    </row>
    <row r="42" spans="1:53" ht="11.1" customHeight="1" x14ac:dyDescent="0.25">
      <c r="A42" s="266">
        <v>37</v>
      </c>
      <c r="B42" s="390" t="s">
        <v>52</v>
      </c>
      <c r="C42" s="389"/>
      <c r="D42" s="302" t="s">
        <v>522</v>
      </c>
      <c r="E42" s="389"/>
      <c r="F42" s="388" t="s">
        <v>49</v>
      </c>
      <c r="G42" s="290">
        <v>1</v>
      </c>
      <c r="H42" s="291" t="s">
        <v>24</v>
      </c>
      <c r="I42" s="290">
        <v>3</v>
      </c>
      <c r="J42" s="292">
        <v>0</v>
      </c>
      <c r="K42" s="292">
        <v>0</v>
      </c>
      <c r="L42" s="163"/>
      <c r="M42" s="163"/>
      <c r="N42" s="163"/>
      <c r="O42" s="163"/>
      <c r="P42" s="331"/>
      <c r="Q42" s="331"/>
      <c r="R42" s="331"/>
      <c r="S42" s="243"/>
      <c r="T42" s="243"/>
      <c r="U42" s="243"/>
      <c r="V42" s="332"/>
      <c r="W42" s="332"/>
      <c r="X42" s="332"/>
      <c r="Y42" s="332"/>
      <c r="Z42" s="332"/>
      <c r="AA42" s="332"/>
      <c r="AB42" s="513" t="s">
        <v>523</v>
      </c>
      <c r="AC42" s="513">
        <f>SUM(AC40:AC41)</f>
        <v>0</v>
      </c>
      <c r="AD42" s="513">
        <f>SUM(AD40:AD41)</f>
        <v>0</v>
      </c>
      <c r="AE42" s="513">
        <f>SUM(AE40:AE41)</f>
        <v>0</v>
      </c>
      <c r="AF42" s="513">
        <f>SUM(AF40:AF41)</f>
        <v>0</v>
      </c>
      <c r="AG42" s="266"/>
      <c r="AH42" s="266"/>
      <c r="AI42" s="266"/>
      <c r="AJ42" s="163"/>
      <c r="AK42" s="163"/>
      <c r="AL42" s="163"/>
      <c r="AM42" s="163"/>
      <c r="AN42" s="163"/>
      <c r="AO42" s="163"/>
      <c r="AP42" s="163"/>
      <c r="AQ42" s="163"/>
      <c r="AR42" s="163"/>
      <c r="AS42" s="163"/>
      <c r="AT42" s="163"/>
      <c r="AU42" s="163"/>
      <c r="AV42" s="163"/>
      <c r="AW42" s="163"/>
      <c r="AX42" s="163"/>
      <c r="AY42" s="163"/>
      <c r="AZ42" s="163"/>
      <c r="BA42" s="163"/>
    </row>
    <row r="43" spans="1:53" ht="11.1" customHeight="1" x14ac:dyDescent="0.25">
      <c r="A43" s="266">
        <v>38</v>
      </c>
      <c r="B43" s="387" t="s">
        <v>50</v>
      </c>
      <c r="C43" s="386"/>
      <c r="D43" s="305" t="s">
        <v>522</v>
      </c>
      <c r="E43" s="386"/>
      <c r="F43" s="385" t="s">
        <v>51</v>
      </c>
      <c r="G43" s="307">
        <v>2</v>
      </c>
      <c r="H43" s="308" t="s">
        <v>24</v>
      </c>
      <c r="I43" s="307">
        <v>2</v>
      </c>
      <c r="J43" s="539">
        <v>0</v>
      </c>
      <c r="K43" s="539">
        <v>0</v>
      </c>
      <c r="L43" s="163"/>
      <c r="M43" s="163"/>
      <c r="N43" s="163"/>
      <c r="O43" s="163"/>
      <c r="P43" s="331"/>
      <c r="Q43" s="331"/>
      <c r="R43" s="331"/>
      <c r="S43" s="243"/>
      <c r="T43" s="243"/>
      <c r="U43" s="243"/>
      <c r="V43" s="332"/>
      <c r="W43" s="332"/>
      <c r="X43" s="332"/>
      <c r="Y43" s="332"/>
      <c r="Z43" s="332"/>
      <c r="AA43" s="332"/>
      <c r="AB43" s="324" t="s">
        <v>524</v>
      </c>
      <c r="AC43" s="609">
        <f>SUM(AC42:AF42)</f>
        <v>0</v>
      </c>
      <c r="AD43" s="609"/>
      <c r="AE43" s="609"/>
      <c r="AF43" s="609"/>
      <c r="AG43" s="266"/>
      <c r="AH43" s="266"/>
      <c r="AI43" s="266"/>
      <c r="AJ43" s="163"/>
      <c r="AK43" s="163"/>
      <c r="AL43" s="163"/>
      <c r="AM43" s="163"/>
      <c r="AN43" s="163"/>
      <c r="AO43" s="163"/>
      <c r="AP43" s="163"/>
      <c r="AQ43" s="163"/>
      <c r="AR43" s="163"/>
      <c r="AS43" s="163"/>
      <c r="AT43" s="163"/>
      <c r="AU43" s="163"/>
      <c r="AV43" s="163"/>
      <c r="AW43" s="163"/>
      <c r="AX43" s="163"/>
      <c r="AY43" s="163"/>
      <c r="AZ43" s="163"/>
      <c r="BA43" s="163"/>
    </row>
    <row r="44" spans="1:53" ht="11.1" customHeight="1" x14ac:dyDescent="0.25">
      <c r="A44" s="163"/>
      <c r="B44" s="240"/>
      <c r="C44" s="240"/>
      <c r="D44" s="164"/>
      <c r="E44" s="164"/>
      <c r="F44" s="241"/>
      <c r="G44" s="310" t="s">
        <v>523</v>
      </c>
      <c r="H44" s="310"/>
      <c r="I44" s="310"/>
      <c r="J44" s="273">
        <f>SUM(J38:J43)</f>
        <v>0</v>
      </c>
      <c r="K44" s="273">
        <f>SUM(K38:K43)</f>
        <v>0</v>
      </c>
      <c r="L44" s="163"/>
      <c r="M44" s="163"/>
      <c r="N44" s="163"/>
      <c r="O44" s="163"/>
      <c r="P44" s="242"/>
      <c r="Q44" s="242"/>
      <c r="R44" s="242"/>
      <c r="S44" s="243"/>
      <c r="T44" s="243"/>
      <c r="U44" s="243"/>
      <c r="V44" s="244"/>
      <c r="W44" s="244"/>
      <c r="X44" s="244"/>
      <c r="Y44" s="244"/>
      <c r="Z44" s="244"/>
      <c r="AA44" s="244"/>
      <c r="AB44" s="163"/>
      <c r="AC44" s="163"/>
      <c r="AD44" s="163"/>
      <c r="AE44" s="163"/>
      <c r="AF44" s="163"/>
      <c r="AG44" s="163"/>
      <c r="AH44" s="163"/>
      <c r="AI44" s="266"/>
      <c r="AJ44" s="163"/>
      <c r="AK44" s="163"/>
      <c r="AL44" s="163"/>
      <c r="AM44" s="163"/>
      <c r="AN44" s="163"/>
      <c r="AO44" s="163"/>
      <c r="AP44" s="163"/>
      <c r="AQ44" s="163"/>
      <c r="AR44" s="163"/>
      <c r="AS44" s="163"/>
      <c r="AT44" s="163"/>
      <c r="AU44" s="163"/>
      <c r="AV44" s="163"/>
      <c r="AW44" s="163"/>
      <c r="AX44" s="163"/>
      <c r="AY44" s="163"/>
      <c r="AZ44" s="163"/>
      <c r="BA44" s="163"/>
    </row>
    <row r="45" spans="1:53" ht="11.1" customHeight="1" x14ac:dyDescent="0.25">
      <c r="A45" s="163"/>
      <c r="B45" s="240"/>
      <c r="C45" s="240"/>
      <c r="D45" s="164"/>
      <c r="E45" s="164"/>
      <c r="F45" s="241"/>
      <c r="G45" s="311" t="s">
        <v>524</v>
      </c>
      <c r="H45" s="311"/>
      <c r="I45" s="311"/>
      <c r="J45" s="312">
        <f>SUM(J44:K44)</f>
        <v>0</v>
      </c>
      <c r="K45" s="312"/>
      <c r="L45" s="163"/>
      <c r="M45" s="163"/>
      <c r="N45" s="163"/>
      <c r="O45" s="163"/>
      <c r="P45" s="242"/>
      <c r="Q45" s="242"/>
      <c r="R45" s="242"/>
      <c r="S45" s="243"/>
      <c r="T45" s="243"/>
      <c r="U45" s="243"/>
      <c r="V45" s="244"/>
      <c r="W45" s="244"/>
      <c r="X45" s="244"/>
      <c r="Y45" s="244"/>
      <c r="Z45" s="244"/>
      <c r="AA45" s="244"/>
      <c r="AB45" s="163"/>
      <c r="AC45" s="163"/>
      <c r="AD45" s="163"/>
      <c r="AE45" s="163"/>
      <c r="AF45" s="163"/>
      <c r="AG45" s="163"/>
      <c r="AH45" s="163"/>
      <c r="AI45" s="266"/>
      <c r="AJ45" s="163"/>
      <c r="AK45" s="163"/>
      <c r="AL45" s="163"/>
      <c r="AM45" s="163"/>
      <c r="AN45" s="163"/>
      <c r="AO45" s="163"/>
      <c r="AP45" s="163"/>
      <c r="AQ45" s="163"/>
      <c r="AR45" s="163"/>
      <c r="AS45" s="163"/>
      <c r="AT45" s="163"/>
      <c r="AU45" s="163"/>
      <c r="AV45" s="163"/>
      <c r="AW45" s="163"/>
      <c r="AX45" s="163"/>
      <c r="AY45" s="163"/>
      <c r="AZ45" s="163"/>
      <c r="BA45" s="163"/>
    </row>
    <row r="46" spans="1:53" ht="11.1" customHeight="1" x14ac:dyDescent="0.25">
      <c r="A46" s="163"/>
      <c r="B46" s="240"/>
      <c r="C46" s="240"/>
      <c r="D46" s="164"/>
      <c r="E46" s="164"/>
      <c r="F46" s="241"/>
      <c r="G46" s="241"/>
      <c r="H46" s="241"/>
      <c r="I46" s="241"/>
      <c r="J46" s="163"/>
      <c r="K46" s="164"/>
      <c r="L46" s="163"/>
      <c r="M46" s="163"/>
      <c r="N46" s="163"/>
      <c r="O46" s="163"/>
      <c r="P46" s="608" t="s">
        <v>530</v>
      </c>
      <c r="Q46" s="608"/>
      <c r="R46" s="608"/>
      <c r="S46" s="608"/>
      <c r="T46" s="608"/>
      <c r="U46" s="608"/>
      <c r="V46" s="608"/>
      <c r="W46" s="679" t="s">
        <v>487</v>
      </c>
      <c r="X46" s="679"/>
      <c r="Y46" s="679"/>
      <c r="Z46" s="679"/>
      <c r="AA46" s="679"/>
      <c r="AB46" s="679"/>
      <c r="AC46" s="679" t="s">
        <v>514</v>
      </c>
      <c r="AD46" s="679"/>
      <c r="AE46" s="679"/>
      <c r="AF46" s="679"/>
      <c r="AG46" s="679" t="s">
        <v>555</v>
      </c>
      <c r="AH46" s="679"/>
      <c r="AI46" s="266"/>
      <c r="AJ46" s="163"/>
      <c r="AK46" s="163"/>
      <c r="AL46" s="163"/>
      <c r="AM46" s="163"/>
      <c r="AN46" s="163"/>
      <c r="AO46" s="163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</row>
    <row r="47" spans="1:53" ht="11.1" customHeight="1" x14ac:dyDescent="0.25">
      <c r="A47" s="163"/>
      <c r="B47" s="608" t="s">
        <v>531</v>
      </c>
      <c r="C47" s="608"/>
      <c r="D47" s="608"/>
      <c r="E47" s="608"/>
      <c r="F47" s="608"/>
      <c r="G47" s="512" t="s">
        <v>487</v>
      </c>
      <c r="H47" s="512"/>
      <c r="I47" s="512"/>
      <c r="J47" s="512" t="s">
        <v>514</v>
      </c>
      <c r="K47" s="512"/>
      <c r="L47" s="163"/>
      <c r="M47" s="163"/>
      <c r="N47" s="163"/>
      <c r="O47" s="163"/>
      <c r="P47" s="608"/>
      <c r="Q47" s="608"/>
      <c r="R47" s="608"/>
      <c r="S47" s="608"/>
      <c r="T47" s="608"/>
      <c r="U47" s="608"/>
      <c r="V47" s="608"/>
      <c r="W47" s="611" t="s">
        <v>529</v>
      </c>
      <c r="X47" s="611"/>
      <c r="Y47" s="611"/>
      <c r="Z47" s="538"/>
      <c r="AA47" s="538"/>
      <c r="AB47" s="538" t="s">
        <v>529</v>
      </c>
      <c r="AC47" s="265"/>
      <c r="AD47" s="265"/>
      <c r="AE47" s="262" t="s">
        <v>518</v>
      </c>
      <c r="AF47" s="262" t="s">
        <v>519</v>
      </c>
      <c r="AG47" s="262" t="s">
        <v>520</v>
      </c>
      <c r="AH47" s="262" t="s">
        <v>521</v>
      </c>
      <c r="AI47" s="266"/>
      <c r="AJ47" s="163"/>
      <c r="AK47" s="163"/>
      <c r="AL47" s="163"/>
      <c r="AM47" s="163"/>
      <c r="AN47" s="163"/>
      <c r="AO47" s="163"/>
      <c r="AP47" s="163"/>
      <c r="AQ47" s="163"/>
      <c r="AR47" s="163"/>
      <c r="AS47" s="163"/>
      <c r="AT47" s="163"/>
      <c r="AU47" s="163"/>
      <c r="AV47" s="163"/>
      <c r="AW47" s="163"/>
      <c r="AX47" s="163"/>
      <c r="AY47" s="163"/>
      <c r="AZ47" s="163"/>
      <c r="BA47" s="163"/>
    </row>
    <row r="48" spans="1:53" ht="11.1" customHeight="1" x14ac:dyDescent="0.25">
      <c r="A48" s="163"/>
      <c r="B48" s="608"/>
      <c r="C48" s="608"/>
      <c r="D48" s="608"/>
      <c r="E48" s="608"/>
      <c r="F48" s="608"/>
      <c r="G48" s="261" t="s">
        <v>517</v>
      </c>
      <c r="H48" s="261"/>
      <c r="I48" s="261"/>
      <c r="J48" s="262" t="s">
        <v>518</v>
      </c>
      <c r="K48" s="262" t="s">
        <v>519</v>
      </c>
      <c r="L48" s="163"/>
      <c r="M48" s="263" t="s">
        <v>476</v>
      </c>
      <c r="N48" s="264"/>
      <c r="O48" s="266">
        <v>63</v>
      </c>
      <c r="P48" s="432" t="s">
        <v>583</v>
      </c>
      <c r="Q48" s="429"/>
      <c r="R48" s="430"/>
      <c r="S48" s="431" t="s">
        <v>522</v>
      </c>
      <c r="T48" s="430"/>
      <c r="U48" s="429"/>
      <c r="V48" s="428" t="s">
        <v>582</v>
      </c>
      <c r="W48" s="401"/>
      <c r="X48" s="340" t="s">
        <v>70</v>
      </c>
      <c r="Y48" s="341">
        <v>1</v>
      </c>
      <c r="Z48" s="400" t="s">
        <v>522</v>
      </c>
      <c r="AA48" s="341">
        <v>2</v>
      </c>
      <c r="AB48" s="343" t="s">
        <v>43</v>
      </c>
      <c r="AC48" s="344"/>
      <c r="AD48" s="344"/>
      <c r="AE48" s="344">
        <v>0</v>
      </c>
      <c r="AF48" s="344">
        <v>0</v>
      </c>
      <c r="AG48" s="344">
        <v>0</v>
      </c>
      <c r="AH48" s="344">
        <v>0</v>
      </c>
      <c r="AI48" s="266"/>
      <c r="AJ48" s="163"/>
      <c r="AK48" s="163"/>
      <c r="AL48" s="163"/>
      <c r="AM48" s="163"/>
      <c r="AN48" s="163"/>
      <c r="AO48" s="163"/>
      <c r="AP48" s="163"/>
      <c r="AQ48" s="163"/>
      <c r="AR48" s="163"/>
      <c r="AS48" s="163"/>
      <c r="AT48" s="163"/>
      <c r="AU48" s="163"/>
      <c r="AV48" s="163"/>
      <c r="AW48" s="163"/>
      <c r="AX48" s="163"/>
      <c r="AY48" s="163"/>
      <c r="AZ48" s="163"/>
      <c r="BA48" s="163"/>
    </row>
    <row r="49" spans="1:53" ht="11.1" customHeight="1" x14ac:dyDescent="0.25">
      <c r="A49" s="266">
        <v>7</v>
      </c>
      <c r="B49" s="395" t="s">
        <v>54</v>
      </c>
      <c r="C49" s="394"/>
      <c r="D49" s="269" t="s">
        <v>522</v>
      </c>
      <c r="E49" s="394"/>
      <c r="F49" s="393" t="s">
        <v>55</v>
      </c>
      <c r="G49" s="271">
        <v>3</v>
      </c>
      <c r="H49" s="272" t="s">
        <v>24</v>
      </c>
      <c r="I49" s="271">
        <v>1</v>
      </c>
      <c r="J49" s="273">
        <v>0</v>
      </c>
      <c r="K49" s="273">
        <v>0</v>
      </c>
      <c r="L49" s="163"/>
      <c r="M49" s="392" t="s">
        <v>150</v>
      </c>
      <c r="N49" s="391"/>
      <c r="O49" s="163"/>
      <c r="P49" s="331"/>
      <c r="Q49" s="331"/>
      <c r="R49" s="331"/>
      <c r="S49" s="243"/>
      <c r="T49" s="243"/>
      <c r="U49" s="243"/>
      <c r="V49" s="332"/>
      <c r="W49" s="332"/>
      <c r="X49" s="332"/>
      <c r="Y49" s="332"/>
      <c r="Z49" s="332"/>
      <c r="AA49" s="332"/>
      <c r="AB49" s="527" t="s">
        <v>524</v>
      </c>
      <c r="AC49" s="609">
        <f>SUM(AC48:AF48)</f>
        <v>0</v>
      </c>
      <c r="AD49" s="609"/>
      <c r="AE49" s="609"/>
      <c r="AF49" s="609"/>
      <c r="AG49" s="266"/>
      <c r="AH49" s="266"/>
      <c r="AI49" s="266"/>
      <c r="AJ49" s="163"/>
      <c r="AK49" s="163"/>
      <c r="AL49" s="163"/>
      <c r="AM49" s="163"/>
      <c r="AN49" s="163"/>
      <c r="AO49" s="163"/>
      <c r="AP49" s="163"/>
      <c r="AQ49" s="163"/>
      <c r="AR49" s="163"/>
      <c r="AS49" s="163"/>
      <c r="AT49" s="163"/>
      <c r="AU49" s="163"/>
      <c r="AV49" s="163"/>
      <c r="AW49" s="163"/>
      <c r="AX49" s="163"/>
      <c r="AY49" s="163"/>
      <c r="AZ49" s="163"/>
      <c r="BA49" s="163"/>
    </row>
    <row r="50" spans="1:53" ht="11.1" customHeight="1" x14ac:dyDescent="0.25">
      <c r="A50" s="266">
        <v>8</v>
      </c>
      <c r="B50" s="390" t="s">
        <v>56</v>
      </c>
      <c r="C50" s="389"/>
      <c r="D50" s="302" t="s">
        <v>522</v>
      </c>
      <c r="E50" s="389"/>
      <c r="F50" s="388" t="s">
        <v>57</v>
      </c>
      <c r="G50" s="290">
        <v>2</v>
      </c>
      <c r="H50" s="291" t="s">
        <v>24</v>
      </c>
      <c r="I50" s="290">
        <v>4</v>
      </c>
      <c r="J50" s="292">
        <v>0</v>
      </c>
      <c r="K50" s="292">
        <v>0</v>
      </c>
      <c r="L50" s="163"/>
      <c r="M50" s="392" t="s">
        <v>156</v>
      </c>
      <c r="N50" s="391"/>
      <c r="O50" s="163"/>
      <c r="P50" s="331"/>
      <c r="Q50" s="331"/>
      <c r="R50" s="331"/>
      <c r="S50" s="243"/>
      <c r="T50" s="243"/>
      <c r="U50" s="243"/>
      <c r="V50" s="332"/>
      <c r="W50" s="332"/>
      <c r="X50" s="332"/>
      <c r="Y50" s="332"/>
      <c r="Z50" s="332"/>
      <c r="AA50" s="332"/>
      <c r="AB50" s="256"/>
      <c r="AC50" s="612"/>
      <c r="AD50" s="612"/>
      <c r="AE50" s="612"/>
      <c r="AF50" s="612"/>
      <c r="AG50" s="266"/>
      <c r="AH50" s="266"/>
      <c r="AI50" s="266"/>
      <c r="AJ50" s="163"/>
      <c r="AK50" s="163"/>
      <c r="AL50" s="163"/>
      <c r="AM50" s="163"/>
      <c r="AN50" s="163"/>
      <c r="AO50" s="163"/>
      <c r="AP50" s="163"/>
      <c r="AQ50" s="163"/>
      <c r="AR50" s="163"/>
      <c r="AS50" s="163"/>
      <c r="AT50" s="163"/>
      <c r="AU50" s="163"/>
      <c r="AV50" s="163"/>
      <c r="AW50" s="163"/>
      <c r="AX50" s="163"/>
      <c r="AY50" s="163"/>
      <c r="AZ50" s="163"/>
      <c r="BA50" s="163"/>
    </row>
    <row r="51" spans="1:53" ht="11.1" customHeight="1" x14ac:dyDescent="0.25">
      <c r="A51" s="266">
        <v>23</v>
      </c>
      <c r="B51" s="390" t="s">
        <v>54</v>
      </c>
      <c r="C51" s="389"/>
      <c r="D51" s="302" t="s">
        <v>522</v>
      </c>
      <c r="E51" s="389"/>
      <c r="F51" s="388" t="s">
        <v>56</v>
      </c>
      <c r="G51" s="290">
        <v>3</v>
      </c>
      <c r="H51" s="291" t="s">
        <v>24</v>
      </c>
      <c r="I51" s="290">
        <v>1</v>
      </c>
      <c r="J51" s="292">
        <v>0</v>
      </c>
      <c r="K51" s="292">
        <v>0</v>
      </c>
      <c r="L51" s="163"/>
      <c r="M51" s="392" t="s">
        <v>153</v>
      </c>
      <c r="N51" s="391"/>
      <c r="O51" s="163"/>
      <c r="P51" s="242"/>
      <c r="Q51" s="242"/>
      <c r="R51" s="242"/>
      <c r="S51" s="243"/>
      <c r="T51" s="243"/>
      <c r="U51" s="243"/>
      <c r="V51" s="244"/>
      <c r="W51" s="244"/>
      <c r="X51" s="244"/>
      <c r="Y51" s="244"/>
      <c r="Z51" s="244"/>
      <c r="AA51" s="244"/>
      <c r="AB51" s="163"/>
      <c r="AC51" s="163"/>
      <c r="AD51" s="163"/>
      <c r="AE51" s="163"/>
      <c r="AF51" s="163"/>
      <c r="AG51" s="163"/>
      <c r="AH51" s="163"/>
      <c r="AI51" s="266"/>
      <c r="AJ51" s="163"/>
      <c r="AK51" s="163"/>
      <c r="AL51" s="163"/>
      <c r="AM51" s="163"/>
      <c r="AN51" s="163"/>
      <c r="AO51" s="163"/>
      <c r="AP51" s="163"/>
      <c r="AQ51" s="163"/>
      <c r="AR51" s="163"/>
      <c r="AS51" s="163"/>
      <c r="AT51" s="163"/>
      <c r="AU51" s="163"/>
      <c r="AV51" s="163"/>
      <c r="AW51" s="163"/>
      <c r="AX51" s="163"/>
      <c r="AY51" s="163"/>
      <c r="AZ51" s="163"/>
      <c r="BA51" s="163"/>
    </row>
    <row r="52" spans="1:53" ht="11.1" customHeight="1" x14ac:dyDescent="0.25">
      <c r="A52" s="266">
        <v>24</v>
      </c>
      <c r="B52" s="390" t="s">
        <v>57</v>
      </c>
      <c r="C52" s="389"/>
      <c r="D52" s="302" t="s">
        <v>522</v>
      </c>
      <c r="E52" s="389"/>
      <c r="F52" s="388" t="s">
        <v>55</v>
      </c>
      <c r="G52" s="290">
        <v>4</v>
      </c>
      <c r="H52" s="291" t="s">
        <v>24</v>
      </c>
      <c r="I52" s="290">
        <v>1</v>
      </c>
      <c r="J52" s="292">
        <v>0</v>
      </c>
      <c r="K52" s="292">
        <v>0</v>
      </c>
      <c r="L52" s="163"/>
      <c r="M52" s="392" t="s">
        <v>158</v>
      </c>
      <c r="N52" s="391"/>
      <c r="O52" s="163"/>
      <c r="P52" s="242"/>
      <c r="Q52" s="242"/>
      <c r="R52" s="242"/>
      <c r="S52" s="243"/>
      <c r="T52" s="243"/>
      <c r="U52" s="243"/>
      <c r="V52" s="244"/>
      <c r="W52" s="244"/>
      <c r="X52" s="244"/>
      <c r="Y52" s="244"/>
      <c r="Z52" s="244"/>
      <c r="AA52" s="244"/>
      <c r="AB52" s="163"/>
      <c r="AC52" s="163"/>
      <c r="AD52" s="163"/>
      <c r="AE52" s="163"/>
      <c r="AF52" s="163"/>
      <c r="AG52" s="163"/>
      <c r="AH52" s="163"/>
      <c r="AI52" s="266"/>
      <c r="AJ52" s="163"/>
      <c r="AK52" s="163"/>
      <c r="AL52" s="163"/>
      <c r="AM52" s="163"/>
      <c r="AN52" s="163"/>
      <c r="AO52" s="163"/>
      <c r="AP52" s="163"/>
      <c r="AQ52" s="163"/>
      <c r="AR52" s="163"/>
      <c r="AS52" s="163"/>
      <c r="AT52" s="163"/>
      <c r="AU52" s="163"/>
      <c r="AV52" s="163"/>
      <c r="AW52" s="163"/>
      <c r="AX52" s="163"/>
      <c r="AY52" s="163"/>
      <c r="AZ52" s="163"/>
      <c r="BA52" s="163"/>
    </row>
    <row r="53" spans="1:53" ht="11.1" customHeight="1" x14ac:dyDescent="0.25">
      <c r="A53" s="266">
        <v>39</v>
      </c>
      <c r="B53" s="390" t="s">
        <v>57</v>
      </c>
      <c r="C53" s="389"/>
      <c r="D53" s="302" t="s">
        <v>522</v>
      </c>
      <c r="E53" s="389"/>
      <c r="F53" s="388" t="s">
        <v>54</v>
      </c>
      <c r="G53" s="290">
        <v>2</v>
      </c>
      <c r="H53" s="291" t="s">
        <v>24</v>
      </c>
      <c r="I53" s="290">
        <v>2</v>
      </c>
      <c r="J53" s="292">
        <v>0</v>
      </c>
      <c r="K53" s="292">
        <v>0</v>
      </c>
      <c r="L53" s="163"/>
      <c r="M53" s="163"/>
      <c r="N53" s="163"/>
      <c r="O53" s="163"/>
      <c r="P53" s="614" t="s">
        <v>13</v>
      </c>
      <c r="Q53" s="614"/>
      <c r="R53" s="614"/>
      <c r="S53" s="608"/>
      <c r="T53" s="608"/>
      <c r="U53" s="608"/>
      <c r="V53" s="608"/>
      <c r="W53" s="679" t="s">
        <v>487</v>
      </c>
      <c r="X53" s="679"/>
      <c r="Y53" s="679"/>
      <c r="Z53" s="679"/>
      <c r="AA53" s="679"/>
      <c r="AB53" s="679"/>
      <c r="AC53" s="679" t="s">
        <v>514</v>
      </c>
      <c r="AD53" s="679"/>
      <c r="AE53" s="679"/>
      <c r="AF53" s="679"/>
      <c r="AG53" s="679" t="s">
        <v>555</v>
      </c>
      <c r="AH53" s="679"/>
      <c r="AI53" s="266"/>
      <c r="AJ53" s="163"/>
      <c r="AK53" s="163"/>
      <c r="AL53" s="163"/>
      <c r="AM53" s="163"/>
      <c r="AN53" s="163"/>
      <c r="AO53" s="163"/>
      <c r="AP53" s="163"/>
      <c r="AQ53" s="163"/>
      <c r="AR53" s="163"/>
      <c r="AS53" s="163"/>
      <c r="AT53" s="163"/>
      <c r="AU53" s="163"/>
      <c r="AV53" s="163"/>
      <c r="AW53" s="163"/>
      <c r="AX53" s="163"/>
      <c r="AY53" s="163"/>
      <c r="AZ53" s="163"/>
      <c r="BA53" s="163"/>
    </row>
    <row r="54" spans="1:53" ht="11.1" customHeight="1" x14ac:dyDescent="0.25">
      <c r="A54" s="266">
        <v>40</v>
      </c>
      <c r="B54" s="387" t="s">
        <v>55</v>
      </c>
      <c r="C54" s="386"/>
      <c r="D54" s="305" t="s">
        <v>522</v>
      </c>
      <c r="E54" s="386"/>
      <c r="F54" s="385" t="s">
        <v>56</v>
      </c>
      <c r="G54" s="307">
        <v>2</v>
      </c>
      <c r="H54" s="308" t="s">
        <v>24</v>
      </c>
      <c r="I54" s="307">
        <v>3</v>
      </c>
      <c r="J54" s="539">
        <v>0</v>
      </c>
      <c r="K54" s="539">
        <v>0</v>
      </c>
      <c r="L54" s="163"/>
      <c r="M54" s="163"/>
      <c r="N54" s="163"/>
      <c r="O54" s="163"/>
      <c r="P54" s="608"/>
      <c r="Q54" s="608"/>
      <c r="R54" s="608"/>
      <c r="S54" s="608"/>
      <c r="T54" s="608"/>
      <c r="U54" s="608"/>
      <c r="V54" s="608"/>
      <c r="W54" s="611" t="s">
        <v>529</v>
      </c>
      <c r="X54" s="611"/>
      <c r="Y54" s="611"/>
      <c r="Z54" s="538"/>
      <c r="AA54" s="538"/>
      <c r="AB54" s="538" t="s">
        <v>529</v>
      </c>
      <c r="AC54" s="265" t="s">
        <v>520</v>
      </c>
      <c r="AD54" s="265" t="s">
        <v>521</v>
      </c>
      <c r="AE54" s="262" t="s">
        <v>518</v>
      </c>
      <c r="AF54" s="262" t="s">
        <v>519</v>
      </c>
      <c r="AG54" s="262" t="s">
        <v>520</v>
      </c>
      <c r="AH54" s="262" t="s">
        <v>521</v>
      </c>
      <c r="AI54" s="266"/>
      <c r="AJ54" s="163"/>
      <c r="AK54" s="163"/>
      <c r="AL54" s="163"/>
      <c r="AM54" s="163"/>
      <c r="AN54" s="163"/>
      <c r="AO54" s="163"/>
      <c r="AP54" s="163"/>
      <c r="AQ54" s="163"/>
      <c r="AR54" s="163"/>
      <c r="AS54" s="163"/>
      <c r="AT54" s="163"/>
      <c r="AU54" s="163"/>
      <c r="AV54" s="163"/>
      <c r="AW54" s="163"/>
      <c r="AX54" s="163"/>
      <c r="AY54" s="163"/>
      <c r="AZ54" s="163"/>
      <c r="BA54" s="163"/>
    </row>
    <row r="55" spans="1:53" ht="11.1" customHeight="1" x14ac:dyDescent="0.25">
      <c r="A55" s="163"/>
      <c r="B55" s="240"/>
      <c r="C55" s="240"/>
      <c r="D55" s="164"/>
      <c r="E55" s="164"/>
      <c r="F55" s="241"/>
      <c r="G55" s="310" t="s">
        <v>523</v>
      </c>
      <c r="H55" s="310"/>
      <c r="I55" s="310"/>
      <c r="J55" s="273">
        <f>SUM(J49:J54)</f>
        <v>0</v>
      </c>
      <c r="K55" s="273">
        <f>SUM(K49:K54)</f>
        <v>0</v>
      </c>
      <c r="L55" s="163"/>
      <c r="M55" s="163"/>
      <c r="N55" s="163"/>
      <c r="O55" s="266">
        <v>64</v>
      </c>
      <c r="P55" s="432" t="s">
        <v>581</v>
      </c>
      <c r="Q55" s="429"/>
      <c r="R55" s="430"/>
      <c r="S55" s="431" t="s">
        <v>522</v>
      </c>
      <c r="T55" s="430"/>
      <c r="U55" s="429"/>
      <c r="V55" s="428" t="s">
        <v>580</v>
      </c>
      <c r="W55" s="401"/>
      <c r="X55" s="340" t="s">
        <v>25</v>
      </c>
      <c r="Y55" s="341">
        <v>1</v>
      </c>
      <c r="Z55" s="400" t="s">
        <v>522</v>
      </c>
      <c r="AA55" s="341">
        <v>2</v>
      </c>
      <c r="AB55" s="343" t="s">
        <v>69</v>
      </c>
      <c r="AC55" s="285">
        <v>0</v>
      </c>
      <c r="AD55" s="285">
        <v>0</v>
      </c>
      <c r="AE55" s="285">
        <v>0</v>
      </c>
      <c r="AF55" s="285">
        <v>0</v>
      </c>
      <c r="AG55" s="285">
        <v>0</v>
      </c>
      <c r="AH55" s="285">
        <v>0</v>
      </c>
      <c r="AI55" s="266"/>
      <c r="AJ55" s="163"/>
      <c r="AK55" s="163"/>
      <c r="AL55" s="163"/>
      <c r="AM55" s="163"/>
      <c r="AN55" s="163"/>
      <c r="AO55" s="163"/>
      <c r="AP55" s="163"/>
      <c r="AQ55" s="163"/>
      <c r="AR55" s="163"/>
      <c r="AS55" s="163"/>
      <c r="AT55" s="163"/>
      <c r="AU55" s="163"/>
      <c r="AV55" s="163"/>
      <c r="AW55" s="163"/>
      <c r="AX55" s="163"/>
      <c r="AY55" s="163"/>
      <c r="AZ55" s="163"/>
      <c r="BA55" s="163"/>
    </row>
    <row r="56" spans="1:53" ht="11.1" customHeight="1" x14ac:dyDescent="0.25">
      <c r="A56" s="163"/>
      <c r="B56" s="240"/>
      <c r="C56" s="240"/>
      <c r="D56" s="164"/>
      <c r="E56" s="164"/>
      <c r="F56" s="241"/>
      <c r="G56" s="311" t="s">
        <v>524</v>
      </c>
      <c r="H56" s="311"/>
      <c r="I56" s="311"/>
      <c r="J56" s="312">
        <f>SUM(J55:K55)</f>
        <v>0</v>
      </c>
      <c r="K56" s="312"/>
      <c r="L56" s="163"/>
      <c r="M56" s="163"/>
      <c r="N56" s="163"/>
      <c r="O56" s="266"/>
      <c r="P56" s="399"/>
      <c r="Q56" s="399"/>
      <c r="R56" s="399"/>
      <c r="S56" s="399"/>
      <c r="T56" s="399"/>
      <c r="U56" s="399"/>
      <c r="V56" s="398"/>
      <c r="W56" s="397"/>
      <c r="X56" s="368"/>
      <c r="Y56" s="369"/>
      <c r="Z56" s="396"/>
      <c r="AA56" s="369"/>
      <c r="AB56" s="526" t="s">
        <v>553</v>
      </c>
      <c r="AC56" s="683">
        <v>0</v>
      </c>
      <c r="AD56" s="683"/>
      <c r="AE56" s="683"/>
      <c r="AF56" s="683"/>
      <c r="AG56" s="266"/>
      <c r="AH56" s="266"/>
      <c r="AI56" s="266"/>
      <c r="AJ56" s="163"/>
      <c r="AK56" s="163"/>
      <c r="AL56" s="163"/>
      <c r="AM56" s="163"/>
      <c r="AN56" s="163"/>
      <c r="AO56" s="163"/>
      <c r="AP56" s="163"/>
      <c r="AQ56" s="163"/>
      <c r="AR56" s="163"/>
      <c r="AS56" s="163"/>
      <c r="AT56" s="163"/>
      <c r="AU56" s="163"/>
      <c r="AV56" s="163"/>
      <c r="AW56" s="163"/>
      <c r="AX56" s="163"/>
      <c r="AY56" s="163"/>
      <c r="AZ56" s="163"/>
      <c r="BA56" s="163"/>
    </row>
    <row r="57" spans="1:53" ht="11.1" customHeight="1" x14ac:dyDescent="0.25">
      <c r="A57" s="163"/>
      <c r="B57" s="240"/>
      <c r="C57" s="240"/>
      <c r="D57" s="164"/>
      <c r="E57" s="164"/>
      <c r="F57" s="241"/>
      <c r="G57" s="241"/>
      <c r="H57" s="241"/>
      <c r="I57" s="241"/>
      <c r="J57" s="163"/>
      <c r="K57" s="164"/>
      <c r="L57" s="163"/>
      <c r="M57" s="163"/>
      <c r="N57" s="163"/>
      <c r="O57" s="163"/>
      <c r="P57" s="331"/>
      <c r="Q57" s="331"/>
      <c r="R57" s="331"/>
      <c r="S57" s="243"/>
      <c r="T57" s="243"/>
      <c r="U57" s="243"/>
      <c r="V57" s="332"/>
      <c r="W57" s="332"/>
      <c r="X57" s="332"/>
      <c r="Y57" s="332"/>
      <c r="Z57" s="332"/>
      <c r="AA57" s="332"/>
      <c r="AB57" s="324" t="s">
        <v>524</v>
      </c>
      <c r="AC57" s="609">
        <f>SUM(AC55:AF55)+AC56</f>
        <v>0</v>
      </c>
      <c r="AD57" s="609"/>
      <c r="AE57" s="609"/>
      <c r="AF57" s="609"/>
      <c r="AG57" s="266"/>
      <c r="AH57" s="266"/>
      <c r="AI57" s="266"/>
      <c r="AJ57" s="163"/>
      <c r="AK57" s="163"/>
      <c r="AL57" s="163"/>
      <c r="AM57" s="163"/>
      <c r="AN57" s="163"/>
      <c r="AO57" s="163"/>
      <c r="AP57" s="163"/>
      <c r="AQ57" s="163"/>
      <c r="AR57" s="163"/>
      <c r="AS57" s="163"/>
      <c r="AT57" s="163"/>
      <c r="AU57" s="163"/>
      <c r="AV57" s="163"/>
      <c r="AW57" s="163"/>
      <c r="AX57" s="163"/>
      <c r="AY57" s="163"/>
      <c r="AZ57" s="163"/>
      <c r="BA57" s="163"/>
    </row>
    <row r="58" spans="1:53" ht="11.1" customHeight="1" x14ac:dyDescent="0.25">
      <c r="A58" s="163"/>
      <c r="B58" s="608" t="s">
        <v>532</v>
      </c>
      <c r="C58" s="608"/>
      <c r="D58" s="608"/>
      <c r="E58" s="608"/>
      <c r="F58" s="608"/>
      <c r="G58" s="512" t="s">
        <v>487</v>
      </c>
      <c r="H58" s="512"/>
      <c r="I58" s="512"/>
      <c r="J58" s="512" t="s">
        <v>514</v>
      </c>
      <c r="K58" s="512"/>
      <c r="L58" s="163"/>
      <c r="M58" s="163"/>
      <c r="N58" s="163"/>
      <c r="O58" s="163"/>
      <c r="P58" s="242"/>
      <c r="Q58" s="242"/>
      <c r="R58" s="242"/>
      <c r="S58" s="243"/>
      <c r="T58" s="243"/>
      <c r="U58" s="243"/>
      <c r="V58" s="244"/>
      <c r="W58" s="346"/>
      <c r="X58" s="244"/>
      <c r="Y58" s="244"/>
      <c r="Z58" s="244"/>
      <c r="AA58" s="244"/>
      <c r="AB58" s="163"/>
      <c r="AC58" s="163"/>
      <c r="AD58" s="163"/>
      <c r="AE58" s="163"/>
      <c r="AF58" s="163"/>
      <c r="AG58" s="163"/>
      <c r="AH58" s="163"/>
      <c r="AI58" s="163"/>
      <c r="AJ58" s="163"/>
      <c r="AK58" s="163"/>
      <c r="AL58" s="163"/>
      <c r="AM58" s="163"/>
      <c r="AN58" s="163"/>
      <c r="AO58" s="163"/>
      <c r="AP58" s="163"/>
      <c r="AQ58" s="163"/>
      <c r="AR58" s="163"/>
      <c r="AS58" s="163"/>
      <c r="AT58" s="163"/>
      <c r="AU58" s="163"/>
      <c r="AV58" s="163"/>
      <c r="AW58" s="163"/>
      <c r="AX58" s="163"/>
      <c r="AY58" s="163"/>
      <c r="AZ58" s="163"/>
      <c r="BA58" s="163"/>
    </row>
    <row r="59" spans="1:53" ht="11.1" customHeight="1" x14ac:dyDescent="0.25">
      <c r="A59" s="163"/>
      <c r="B59" s="608"/>
      <c r="C59" s="608"/>
      <c r="D59" s="608"/>
      <c r="E59" s="608"/>
      <c r="F59" s="608"/>
      <c r="G59" s="261" t="s">
        <v>517</v>
      </c>
      <c r="H59" s="261"/>
      <c r="I59" s="261"/>
      <c r="J59" s="262" t="s">
        <v>518</v>
      </c>
      <c r="K59" s="262" t="s">
        <v>519</v>
      </c>
      <c r="L59" s="163"/>
      <c r="M59" s="263" t="s">
        <v>476</v>
      </c>
      <c r="N59" s="264"/>
      <c r="O59" s="163"/>
      <c r="P59" s="242"/>
      <c r="Q59" s="242"/>
      <c r="R59" s="242"/>
      <c r="S59" s="243"/>
      <c r="T59" s="243"/>
      <c r="U59" s="243"/>
      <c r="V59" s="244"/>
      <c r="W59" s="244"/>
      <c r="X59" s="244"/>
      <c r="Y59" s="244"/>
      <c r="Z59" s="244"/>
      <c r="AA59" s="244"/>
      <c r="AB59" s="163"/>
      <c r="AC59" s="163"/>
      <c r="AD59" s="163"/>
      <c r="AE59" s="163"/>
      <c r="AF59" s="163"/>
      <c r="AG59" s="163"/>
      <c r="AH59" s="163"/>
      <c r="AI59" s="163"/>
      <c r="AJ59" s="163"/>
      <c r="AK59" s="163"/>
      <c r="AL59" s="163"/>
      <c r="AM59" s="163"/>
      <c r="AN59" s="163"/>
      <c r="AO59" s="163"/>
      <c r="AP59" s="163"/>
      <c r="AQ59" s="163"/>
      <c r="AR59" s="163"/>
      <c r="AS59" s="163"/>
      <c r="AT59" s="163"/>
      <c r="AU59" s="163"/>
      <c r="AV59" s="163"/>
      <c r="AW59" s="163"/>
      <c r="AX59" s="163"/>
      <c r="AY59" s="163"/>
      <c r="AZ59" s="163"/>
      <c r="BA59" s="163"/>
    </row>
    <row r="60" spans="1:53" ht="11.1" customHeight="1" x14ac:dyDescent="0.25">
      <c r="A60" s="266">
        <v>9</v>
      </c>
      <c r="B60" s="395" t="s">
        <v>59</v>
      </c>
      <c r="C60" s="394"/>
      <c r="D60" s="269" t="s">
        <v>522</v>
      </c>
      <c r="E60" s="394"/>
      <c r="F60" s="393" t="s">
        <v>60</v>
      </c>
      <c r="G60" s="271">
        <v>1</v>
      </c>
      <c r="H60" s="272" t="s">
        <v>24</v>
      </c>
      <c r="I60" s="271">
        <v>1</v>
      </c>
      <c r="J60" s="273">
        <v>0</v>
      </c>
      <c r="K60" s="273">
        <v>0</v>
      </c>
      <c r="L60" s="163"/>
      <c r="M60" s="392" t="s">
        <v>160</v>
      </c>
      <c r="N60" s="391"/>
      <c r="O60" s="163"/>
      <c r="P60" s="652"/>
      <c r="Q60" s="652"/>
      <c r="R60" s="652"/>
      <c r="S60" s="652"/>
      <c r="T60" s="652"/>
      <c r="U60" s="652"/>
      <c r="V60" s="652"/>
      <c r="W60" s="244"/>
      <c r="X60" s="652" t="s">
        <v>613</v>
      </c>
      <c r="Y60" s="652"/>
      <c r="Z60" s="652"/>
      <c r="AA60" s="652"/>
      <c r="AB60" s="652"/>
      <c r="AC60" s="163"/>
      <c r="AD60" s="163"/>
      <c r="AE60" s="163"/>
      <c r="AF60" s="163"/>
      <c r="AG60" s="163"/>
      <c r="AH60" s="163"/>
      <c r="AI60" s="163"/>
      <c r="AJ60" s="163"/>
      <c r="AK60" s="163"/>
      <c r="AL60" s="163"/>
      <c r="AM60" s="163"/>
      <c r="AN60" s="163"/>
      <c r="AO60" s="163"/>
      <c r="AP60" s="163"/>
      <c r="AQ60" s="163"/>
      <c r="AR60" s="163"/>
      <c r="AS60" s="163"/>
      <c r="AT60" s="163"/>
      <c r="AU60" s="163"/>
      <c r="AV60" s="163"/>
      <c r="AW60" s="163"/>
      <c r="AX60" s="163"/>
      <c r="AY60" s="163"/>
      <c r="AZ60" s="163"/>
      <c r="BA60" s="163"/>
    </row>
    <row r="61" spans="1:53" ht="11.1" customHeight="1" x14ac:dyDescent="0.25">
      <c r="A61" s="266">
        <v>10</v>
      </c>
      <c r="B61" s="390" t="s">
        <v>61</v>
      </c>
      <c r="C61" s="389"/>
      <c r="D61" s="302" t="s">
        <v>522</v>
      </c>
      <c r="E61" s="389"/>
      <c r="F61" s="388" t="s">
        <v>62</v>
      </c>
      <c r="G61" s="290">
        <v>2</v>
      </c>
      <c r="H61" s="291" t="s">
        <v>24</v>
      </c>
      <c r="I61" s="290">
        <v>1</v>
      </c>
      <c r="J61" s="292">
        <v>0</v>
      </c>
      <c r="K61" s="292">
        <v>0</v>
      </c>
      <c r="L61" s="163"/>
      <c r="M61" s="392" t="s">
        <v>162</v>
      </c>
      <c r="N61" s="391"/>
      <c r="O61" s="163"/>
      <c r="P61" s="652"/>
      <c r="Q61" s="652"/>
      <c r="R61" s="652"/>
      <c r="S61" s="652"/>
      <c r="T61" s="652"/>
      <c r="U61" s="652"/>
      <c r="V61" s="652"/>
      <c r="W61" s="244"/>
      <c r="X61" s="652"/>
      <c r="Y61" s="652"/>
      <c r="Z61" s="652"/>
      <c r="AA61" s="652"/>
      <c r="AB61" s="652"/>
      <c r="AC61" s="163"/>
      <c r="AD61" s="163"/>
      <c r="AE61" s="163"/>
      <c r="AF61" s="163"/>
      <c r="AG61" s="163"/>
      <c r="AH61" s="163"/>
      <c r="AI61" s="163"/>
      <c r="AJ61" s="163"/>
      <c r="AK61" s="163"/>
      <c r="AL61" s="163"/>
      <c r="AM61" s="163"/>
      <c r="AN61" s="163"/>
      <c r="AO61" s="163"/>
      <c r="AP61" s="163"/>
      <c r="AQ61" s="163"/>
      <c r="AR61" s="163"/>
      <c r="AS61" s="163"/>
      <c r="AT61" s="163"/>
      <c r="AU61" s="163"/>
      <c r="AV61" s="163"/>
      <c r="AW61" s="163"/>
      <c r="AX61" s="163"/>
      <c r="AY61" s="163"/>
      <c r="AZ61" s="163"/>
      <c r="BA61" s="163"/>
    </row>
    <row r="62" spans="1:53" ht="11.1" customHeight="1" x14ac:dyDescent="0.25">
      <c r="A62" s="266">
        <v>25</v>
      </c>
      <c r="B62" s="390" t="s">
        <v>59</v>
      </c>
      <c r="C62" s="389"/>
      <c r="D62" s="302" t="s">
        <v>522</v>
      </c>
      <c r="E62" s="389"/>
      <c r="F62" s="388" t="s">
        <v>61</v>
      </c>
      <c r="G62" s="290">
        <v>2</v>
      </c>
      <c r="H62" s="291" t="s">
        <v>24</v>
      </c>
      <c r="I62" s="290">
        <v>1</v>
      </c>
      <c r="J62" s="292">
        <v>0</v>
      </c>
      <c r="K62" s="292">
        <v>0</v>
      </c>
      <c r="L62" s="163"/>
      <c r="M62" s="392" t="s">
        <v>166</v>
      </c>
      <c r="N62" s="391"/>
      <c r="O62" s="163"/>
      <c r="P62" s="242"/>
      <c r="Q62" s="242"/>
      <c r="R62" s="242"/>
      <c r="S62" s="243"/>
      <c r="T62" s="243"/>
      <c r="U62" s="243"/>
      <c r="V62" s="244"/>
      <c r="W62" s="244"/>
      <c r="X62" s="244"/>
      <c r="Y62" s="244"/>
      <c r="Z62" s="244"/>
      <c r="AA62" s="244"/>
      <c r="AB62" s="163"/>
      <c r="AC62" s="163"/>
      <c r="AD62" s="163"/>
      <c r="AE62" s="163"/>
      <c r="AF62" s="163"/>
      <c r="AG62" s="163"/>
      <c r="AH62" s="163"/>
      <c r="AI62" s="163"/>
      <c r="AJ62" s="163"/>
      <c r="AK62" s="163"/>
      <c r="AL62" s="163"/>
      <c r="AM62" s="163"/>
      <c r="AN62" s="163"/>
      <c r="AO62" s="163"/>
      <c r="AP62" s="163"/>
      <c r="AQ62" s="163"/>
      <c r="AR62" s="163"/>
      <c r="AS62" s="163"/>
      <c r="AT62" s="163"/>
      <c r="AU62" s="163"/>
      <c r="AV62" s="163"/>
      <c r="AW62" s="163"/>
      <c r="AX62" s="163"/>
      <c r="AY62" s="163"/>
      <c r="AZ62" s="163"/>
      <c r="BA62" s="163"/>
    </row>
    <row r="63" spans="1:53" ht="11.1" customHeight="1" x14ac:dyDescent="0.25">
      <c r="A63" s="266">
        <v>26</v>
      </c>
      <c r="B63" s="390" t="s">
        <v>62</v>
      </c>
      <c r="C63" s="389"/>
      <c r="D63" s="302" t="s">
        <v>522</v>
      </c>
      <c r="E63" s="389"/>
      <c r="F63" s="388" t="s">
        <v>60</v>
      </c>
      <c r="G63" s="290">
        <v>1</v>
      </c>
      <c r="H63" s="291" t="s">
        <v>24</v>
      </c>
      <c r="I63" s="290">
        <v>2</v>
      </c>
      <c r="J63" s="292">
        <v>0</v>
      </c>
      <c r="K63" s="292">
        <v>0</v>
      </c>
      <c r="L63" s="163"/>
      <c r="M63" s="392" t="s">
        <v>164</v>
      </c>
      <c r="N63" s="391"/>
      <c r="O63" s="163"/>
      <c r="P63" s="242"/>
      <c r="Q63" s="242"/>
      <c r="R63" s="242"/>
      <c r="S63" s="243"/>
      <c r="T63" s="243"/>
      <c r="U63" s="243"/>
      <c r="V63" s="244"/>
      <c r="W63" s="244"/>
      <c r="X63" s="244"/>
      <c r="Y63" s="244"/>
      <c r="Z63" s="244"/>
      <c r="AA63" s="244"/>
      <c r="AB63" s="163"/>
      <c r="AC63" s="163"/>
      <c r="AD63" s="163"/>
      <c r="AE63" s="163"/>
      <c r="AF63" s="163"/>
      <c r="AG63" s="163"/>
      <c r="AH63" s="163"/>
      <c r="AI63" s="163"/>
      <c r="AJ63" s="163"/>
      <c r="AK63" s="163"/>
      <c r="AL63" s="163"/>
      <c r="AM63" s="163"/>
      <c r="AN63" s="163"/>
      <c r="AO63" s="163"/>
      <c r="AP63" s="163"/>
      <c r="AQ63" s="163"/>
      <c r="AR63" s="163"/>
      <c r="AS63" s="163"/>
      <c r="AT63" s="163"/>
      <c r="AU63" s="163"/>
      <c r="AV63" s="163"/>
      <c r="AW63" s="163"/>
      <c r="AX63" s="163"/>
      <c r="AY63" s="163"/>
      <c r="AZ63" s="163"/>
      <c r="BA63" s="163"/>
    </row>
    <row r="64" spans="1:53" ht="11.1" customHeight="1" x14ac:dyDescent="0.25">
      <c r="A64" s="266">
        <v>41</v>
      </c>
      <c r="B64" s="390" t="s">
        <v>62</v>
      </c>
      <c r="C64" s="389"/>
      <c r="D64" s="302" t="s">
        <v>522</v>
      </c>
      <c r="E64" s="389"/>
      <c r="F64" s="388" t="s">
        <v>59</v>
      </c>
      <c r="G64" s="290">
        <v>1</v>
      </c>
      <c r="H64" s="291" t="s">
        <v>24</v>
      </c>
      <c r="I64" s="290">
        <v>3</v>
      </c>
      <c r="J64" s="292">
        <v>0</v>
      </c>
      <c r="K64" s="292">
        <v>0</v>
      </c>
      <c r="L64" s="163"/>
      <c r="M64" s="163"/>
      <c r="N64" s="163"/>
      <c r="O64" s="163"/>
      <c r="P64" s="242"/>
      <c r="Q64" s="242"/>
      <c r="R64" s="242"/>
      <c r="S64" s="243"/>
      <c r="T64" s="243"/>
      <c r="U64" s="243"/>
      <c r="V64" s="244"/>
      <c r="W64" s="244"/>
      <c r="X64" s="244"/>
      <c r="Y64" s="244"/>
      <c r="Z64" s="244"/>
      <c r="AA64" s="244"/>
      <c r="AB64" s="163"/>
      <c r="AC64" s="163"/>
      <c r="AD64" s="163"/>
      <c r="AE64" s="163"/>
      <c r="AF64" s="163"/>
      <c r="AG64" s="163"/>
      <c r="AH64" s="163"/>
      <c r="AI64" s="163"/>
      <c r="AJ64" s="163"/>
      <c r="AK64" s="163"/>
      <c r="AL64" s="163"/>
      <c r="AM64" s="163"/>
      <c r="AN64" s="163"/>
      <c r="AO64" s="163"/>
      <c r="AP64" s="163"/>
      <c r="AQ64" s="163"/>
      <c r="AR64" s="163"/>
      <c r="AS64" s="163"/>
      <c r="AT64" s="163"/>
      <c r="AU64" s="163"/>
      <c r="AV64" s="163"/>
      <c r="AW64" s="163"/>
      <c r="AX64" s="163"/>
      <c r="AY64" s="163"/>
      <c r="AZ64" s="163"/>
      <c r="BA64" s="163"/>
    </row>
    <row r="65" spans="1:53" ht="11.1" customHeight="1" x14ac:dyDescent="0.25">
      <c r="A65" s="266">
        <v>42</v>
      </c>
      <c r="B65" s="387" t="s">
        <v>60</v>
      </c>
      <c r="C65" s="386"/>
      <c r="D65" s="305" t="s">
        <v>522</v>
      </c>
      <c r="E65" s="386"/>
      <c r="F65" s="385" t="s">
        <v>61</v>
      </c>
      <c r="G65" s="307">
        <v>2</v>
      </c>
      <c r="H65" s="308" t="s">
        <v>24</v>
      </c>
      <c r="I65" s="307">
        <v>2</v>
      </c>
      <c r="J65" s="539">
        <v>0</v>
      </c>
      <c r="K65" s="539">
        <v>0</v>
      </c>
      <c r="L65" s="163"/>
      <c r="M65" s="163"/>
      <c r="N65" s="163"/>
      <c r="O65" s="163"/>
      <c r="P65" s="242"/>
      <c r="Q65" s="242"/>
      <c r="R65" s="242"/>
      <c r="S65" s="243"/>
      <c r="T65" s="243"/>
      <c r="U65" s="243"/>
      <c r="V65" s="244"/>
      <c r="W65" s="244"/>
      <c r="X65" s="244"/>
      <c r="Y65" s="244"/>
      <c r="Z65" s="244"/>
      <c r="AA65" s="244"/>
      <c r="AB65" s="163"/>
      <c r="AC65" s="163"/>
      <c r="AD65" s="163"/>
      <c r="AE65" s="163"/>
      <c r="AF65" s="163"/>
      <c r="AG65" s="163"/>
      <c r="AH65" s="163"/>
      <c r="AI65" s="163"/>
      <c r="AJ65" s="163"/>
      <c r="AK65" s="163"/>
      <c r="AL65" s="163"/>
      <c r="AM65" s="163"/>
      <c r="AN65" s="163"/>
      <c r="AO65" s="163"/>
      <c r="AP65" s="163"/>
      <c r="AQ65" s="163"/>
      <c r="AR65" s="163"/>
      <c r="AS65" s="163"/>
      <c r="AT65" s="163"/>
      <c r="AU65" s="163"/>
      <c r="AV65" s="163"/>
      <c r="AW65" s="163"/>
      <c r="AX65" s="163"/>
      <c r="AY65" s="163"/>
      <c r="AZ65" s="163"/>
      <c r="BA65" s="163"/>
    </row>
    <row r="66" spans="1:53" ht="11.1" customHeight="1" x14ac:dyDescent="0.25">
      <c r="A66" s="163"/>
      <c r="B66" s="240"/>
      <c r="C66" s="240"/>
      <c r="D66" s="164"/>
      <c r="E66" s="164"/>
      <c r="F66" s="241"/>
      <c r="G66" s="310" t="s">
        <v>523</v>
      </c>
      <c r="H66" s="310"/>
      <c r="I66" s="310"/>
      <c r="J66" s="273">
        <f>SUM(J60:J65)</f>
        <v>0</v>
      </c>
      <c r="K66" s="273">
        <f>SUM(K60:K65)</f>
        <v>0</v>
      </c>
      <c r="L66" s="163"/>
      <c r="M66" s="163"/>
      <c r="N66" s="163"/>
      <c r="O66" s="163"/>
      <c r="P66" s="242"/>
      <c r="Q66" s="242"/>
      <c r="R66" s="242"/>
      <c r="S66" s="243"/>
      <c r="T66" s="243"/>
      <c r="U66" s="243"/>
      <c r="V66" s="244"/>
      <c r="W66" s="244"/>
      <c r="X66" s="244"/>
      <c r="Y66" s="244"/>
      <c r="Z66" s="244"/>
      <c r="AA66" s="244"/>
      <c r="AB66" s="163"/>
      <c r="AC66" s="163"/>
      <c r="AD66" s="163"/>
      <c r="AE66" s="163"/>
      <c r="AF66" s="163"/>
      <c r="AG66" s="163"/>
      <c r="AH66" s="163"/>
      <c r="AI66" s="163"/>
      <c r="AJ66" s="163"/>
      <c r="AK66" s="163"/>
      <c r="AL66" s="163"/>
      <c r="AM66" s="163"/>
      <c r="AN66" s="163"/>
      <c r="AO66" s="163"/>
      <c r="AP66" s="163"/>
      <c r="AQ66" s="163"/>
      <c r="AR66" s="163"/>
      <c r="AS66" s="163"/>
      <c r="AT66" s="163"/>
      <c r="AU66" s="163"/>
      <c r="AV66" s="163"/>
      <c r="AW66" s="163"/>
      <c r="AX66" s="163"/>
      <c r="AY66" s="163"/>
      <c r="AZ66" s="163"/>
      <c r="BA66" s="163"/>
    </row>
    <row r="67" spans="1:53" ht="11.1" customHeight="1" x14ac:dyDescent="0.25">
      <c r="A67" s="163"/>
      <c r="B67" s="240"/>
      <c r="C67" s="240"/>
      <c r="D67" s="164"/>
      <c r="E67" s="164"/>
      <c r="F67" s="241"/>
      <c r="G67" s="311" t="s">
        <v>524</v>
      </c>
      <c r="H67" s="311"/>
      <c r="I67" s="311"/>
      <c r="J67" s="312">
        <f>SUM(J66:K66)</f>
        <v>0</v>
      </c>
      <c r="K67" s="312"/>
      <c r="L67" s="163"/>
      <c r="M67" s="163"/>
      <c r="N67" s="163"/>
      <c r="O67" s="163"/>
      <c r="P67" s="242"/>
      <c r="Q67" s="242"/>
      <c r="R67" s="242"/>
      <c r="S67" s="243"/>
      <c r="T67" s="243"/>
      <c r="U67" s="243"/>
      <c r="V67" s="244"/>
      <c r="W67" s="244"/>
      <c r="X67" s="244"/>
      <c r="Y67" s="244"/>
      <c r="Z67" s="244"/>
      <c r="AA67" s="244"/>
      <c r="AB67" s="163"/>
      <c r="AC67" s="163"/>
      <c r="AD67" s="163"/>
      <c r="AE67" s="163"/>
      <c r="AF67" s="163"/>
      <c r="AG67" s="163"/>
      <c r="AH67" s="163"/>
      <c r="AI67" s="163"/>
      <c r="AJ67" s="163"/>
      <c r="AK67" s="163"/>
      <c r="AL67" s="163"/>
      <c r="AM67" s="163"/>
      <c r="AN67" s="163"/>
      <c r="AO67" s="163"/>
      <c r="AP67" s="163"/>
      <c r="AQ67" s="163"/>
      <c r="AR67" s="163"/>
      <c r="AS67" s="163"/>
      <c r="AT67" s="163"/>
      <c r="AU67" s="163"/>
      <c r="AV67" s="163"/>
      <c r="AW67" s="163"/>
      <c r="AX67" s="163"/>
      <c r="AY67" s="163"/>
      <c r="AZ67" s="163"/>
      <c r="BA67" s="163"/>
    </row>
    <row r="68" spans="1:53" ht="11.1" customHeight="1" x14ac:dyDescent="0.25">
      <c r="A68" s="163"/>
      <c r="B68" s="240"/>
      <c r="C68" s="240"/>
      <c r="D68" s="164"/>
      <c r="E68" s="164"/>
      <c r="F68" s="241"/>
      <c r="G68" s="241"/>
      <c r="H68" s="241"/>
      <c r="I68" s="241"/>
      <c r="J68" s="163"/>
      <c r="K68" s="164"/>
      <c r="L68" s="163"/>
      <c r="M68" s="163"/>
      <c r="N68" s="163"/>
      <c r="O68" s="163"/>
      <c r="P68" s="242"/>
      <c r="Q68" s="242"/>
      <c r="R68" s="242"/>
      <c r="S68" s="243"/>
      <c r="T68" s="243"/>
      <c r="U68" s="243"/>
      <c r="V68" s="244"/>
      <c r="W68" s="244"/>
      <c r="X68" s="244"/>
      <c r="Y68" s="244"/>
      <c r="Z68" s="244"/>
      <c r="AA68" s="244"/>
      <c r="AB68" s="163"/>
      <c r="AC68" s="163"/>
      <c r="AD68" s="163"/>
      <c r="AE68" s="163"/>
      <c r="AF68" s="163"/>
      <c r="AG68" s="163"/>
      <c r="AH68" s="163"/>
      <c r="AI68" s="163"/>
      <c r="AJ68" s="163"/>
      <c r="AK68" s="163"/>
      <c r="AL68" s="163"/>
      <c r="AM68" s="163"/>
      <c r="AN68" s="163"/>
      <c r="AO68" s="163"/>
      <c r="AP68" s="163"/>
      <c r="AQ68" s="163"/>
      <c r="AR68" s="163"/>
      <c r="AS68" s="163"/>
      <c r="AT68" s="163"/>
      <c r="AU68" s="163"/>
      <c r="AV68" s="163"/>
      <c r="AW68" s="163"/>
      <c r="AX68" s="163"/>
      <c r="AY68" s="163"/>
      <c r="AZ68" s="163"/>
      <c r="BA68" s="163"/>
    </row>
    <row r="69" spans="1:53" ht="11.1" customHeight="1" x14ac:dyDescent="0.25">
      <c r="A69" s="163"/>
      <c r="B69" s="608" t="s">
        <v>533</v>
      </c>
      <c r="C69" s="608"/>
      <c r="D69" s="608"/>
      <c r="E69" s="608"/>
      <c r="F69" s="608"/>
      <c r="G69" s="512" t="s">
        <v>487</v>
      </c>
      <c r="H69" s="512"/>
      <c r="I69" s="512"/>
      <c r="J69" s="512" t="s">
        <v>514</v>
      </c>
      <c r="K69" s="512"/>
      <c r="L69" s="163"/>
      <c r="M69" s="163"/>
      <c r="N69" s="163"/>
      <c r="O69" s="163"/>
      <c r="P69" s="242"/>
      <c r="Q69" s="242"/>
      <c r="R69" s="242"/>
      <c r="S69" s="243"/>
      <c r="T69" s="243"/>
      <c r="U69" s="243"/>
      <c r="V69" s="244"/>
      <c r="W69" s="244"/>
      <c r="X69" s="244"/>
      <c r="Y69" s="244"/>
      <c r="Z69" s="244"/>
      <c r="AA69" s="244"/>
      <c r="AB69" s="163"/>
      <c r="AC69" s="163"/>
      <c r="AD69" s="163"/>
      <c r="AE69" s="163"/>
      <c r="AF69" s="163"/>
      <c r="AG69" s="163"/>
      <c r="AH69" s="163"/>
      <c r="AI69" s="163"/>
      <c r="AJ69" s="163"/>
      <c r="AK69" s="163"/>
      <c r="AL69" s="163"/>
      <c r="AM69" s="163"/>
      <c r="AN69" s="163"/>
      <c r="AO69" s="163"/>
      <c r="AP69" s="163"/>
      <c r="AQ69" s="163"/>
      <c r="AR69" s="163"/>
      <c r="AS69" s="163"/>
      <c r="AT69" s="163"/>
      <c r="AU69" s="163"/>
      <c r="AV69" s="163"/>
      <c r="AW69" s="163"/>
      <c r="AX69" s="163"/>
      <c r="AY69" s="163"/>
      <c r="AZ69" s="163"/>
      <c r="BA69" s="163"/>
    </row>
    <row r="70" spans="1:53" ht="11.1" customHeight="1" x14ac:dyDescent="0.25">
      <c r="A70" s="163"/>
      <c r="B70" s="608"/>
      <c r="C70" s="608"/>
      <c r="D70" s="608"/>
      <c r="E70" s="608"/>
      <c r="F70" s="608"/>
      <c r="G70" s="261" t="s">
        <v>517</v>
      </c>
      <c r="H70" s="261"/>
      <c r="I70" s="261"/>
      <c r="J70" s="262" t="s">
        <v>518</v>
      </c>
      <c r="K70" s="262" t="s">
        <v>519</v>
      </c>
      <c r="L70" s="163"/>
      <c r="M70" s="263" t="s">
        <v>476</v>
      </c>
      <c r="N70" s="264"/>
      <c r="O70" s="163"/>
      <c r="P70" s="242"/>
      <c r="Q70" s="242"/>
      <c r="R70" s="242"/>
      <c r="S70" s="243"/>
      <c r="T70" s="243"/>
      <c r="U70" s="243"/>
      <c r="V70" s="244"/>
      <c r="W70" s="244"/>
      <c r="X70" s="244"/>
      <c r="Y70" s="244"/>
      <c r="Z70" s="244"/>
      <c r="AA70" s="244"/>
      <c r="AB70" s="163"/>
      <c r="AC70" s="163"/>
      <c r="AD70" s="163"/>
      <c r="AE70" s="163"/>
      <c r="AF70" s="163"/>
      <c r="AG70" s="163"/>
      <c r="AH70" s="163"/>
      <c r="AI70" s="163"/>
      <c r="AJ70" s="163"/>
      <c r="AK70" s="163"/>
      <c r="AL70" s="163"/>
      <c r="AM70" s="163"/>
      <c r="AN70" s="163"/>
      <c r="AO70" s="163"/>
      <c r="AP70" s="163"/>
      <c r="AQ70" s="163"/>
      <c r="AR70" s="163"/>
      <c r="AS70" s="163"/>
      <c r="AT70" s="163"/>
      <c r="AU70" s="163"/>
      <c r="AV70" s="163"/>
      <c r="AW70" s="163"/>
      <c r="AX70" s="163"/>
      <c r="AY70" s="163"/>
      <c r="AZ70" s="163"/>
      <c r="BA70" s="163"/>
    </row>
    <row r="71" spans="1:53" ht="11.1" customHeight="1" x14ac:dyDescent="0.25">
      <c r="A71" s="266">
        <v>11</v>
      </c>
      <c r="B71" s="395" t="s">
        <v>64</v>
      </c>
      <c r="C71" s="394"/>
      <c r="D71" s="269" t="s">
        <v>522</v>
      </c>
      <c r="E71" s="394"/>
      <c r="F71" s="393" t="s">
        <v>65</v>
      </c>
      <c r="G71" s="271">
        <v>3</v>
      </c>
      <c r="H71" s="272" t="s">
        <v>24</v>
      </c>
      <c r="I71" s="271">
        <v>2</v>
      </c>
      <c r="J71" s="273">
        <v>0</v>
      </c>
      <c r="K71" s="273">
        <v>0</v>
      </c>
      <c r="L71" s="163"/>
      <c r="M71" s="392" t="s">
        <v>168</v>
      </c>
      <c r="N71" s="391"/>
      <c r="O71" s="163"/>
      <c r="P71" s="242"/>
      <c r="Q71" s="242"/>
      <c r="R71" s="242"/>
      <c r="S71" s="243"/>
      <c r="T71" s="243"/>
      <c r="U71" s="243"/>
      <c r="V71" s="244"/>
      <c r="W71" s="244"/>
      <c r="X71" s="244"/>
      <c r="Y71" s="244"/>
      <c r="Z71" s="244"/>
      <c r="AA71" s="244"/>
      <c r="AB71" s="163"/>
      <c r="AC71" s="163"/>
      <c r="AD71" s="163"/>
      <c r="AE71" s="163"/>
      <c r="AF71" s="163"/>
      <c r="AG71" s="163"/>
      <c r="AH71" s="163"/>
      <c r="AI71" s="163"/>
      <c r="AJ71" s="163"/>
      <c r="AK71" s="163"/>
      <c r="AL71" s="163"/>
      <c r="AM71" s="163"/>
      <c r="AN71" s="163"/>
      <c r="AO71" s="163"/>
      <c r="AP71" s="163"/>
      <c r="AQ71" s="163"/>
      <c r="AR71" s="163"/>
      <c r="AS71" s="163"/>
      <c r="AT71" s="163"/>
      <c r="AU71" s="163"/>
      <c r="AV71" s="163"/>
      <c r="AW71" s="163"/>
      <c r="AX71" s="163"/>
      <c r="AY71" s="163"/>
      <c r="AZ71" s="163"/>
      <c r="BA71" s="163"/>
    </row>
    <row r="72" spans="1:53" ht="11.1" customHeight="1" x14ac:dyDescent="0.25">
      <c r="A72" s="266">
        <v>12</v>
      </c>
      <c r="B72" s="390" t="s">
        <v>66</v>
      </c>
      <c r="C72" s="389"/>
      <c r="D72" s="302" t="s">
        <v>522</v>
      </c>
      <c r="E72" s="389"/>
      <c r="F72" s="388" t="s">
        <v>67</v>
      </c>
      <c r="G72" s="290">
        <v>0</v>
      </c>
      <c r="H72" s="291" t="s">
        <v>24</v>
      </c>
      <c r="I72" s="290">
        <v>1</v>
      </c>
      <c r="J72" s="292">
        <v>0</v>
      </c>
      <c r="K72" s="292">
        <v>0</v>
      </c>
      <c r="L72" s="163"/>
      <c r="M72" s="392" t="s">
        <v>171</v>
      </c>
      <c r="N72" s="391"/>
      <c r="O72" s="163"/>
      <c r="P72" s="242"/>
      <c r="Q72" s="242"/>
      <c r="R72" s="242"/>
      <c r="S72" s="243"/>
      <c r="T72" s="243"/>
      <c r="U72" s="243"/>
      <c r="V72" s="244"/>
      <c r="W72" s="244"/>
      <c r="X72" s="244"/>
      <c r="Y72" s="244"/>
      <c r="Z72" s="244"/>
      <c r="AA72" s="244"/>
      <c r="AB72" s="163"/>
      <c r="AC72" s="163"/>
      <c r="AD72" s="163"/>
      <c r="AE72" s="163"/>
      <c r="AF72" s="163"/>
      <c r="AG72" s="163"/>
      <c r="AH72" s="163"/>
      <c r="AI72" s="163"/>
      <c r="AJ72" s="163"/>
      <c r="AK72" s="163"/>
      <c r="AL72" s="163"/>
      <c r="AM72" s="163"/>
      <c r="AN72" s="163"/>
      <c r="AO72" s="163"/>
      <c r="AP72" s="163"/>
      <c r="AQ72" s="163"/>
      <c r="AR72" s="163"/>
      <c r="AS72" s="163"/>
      <c r="AT72" s="163"/>
      <c r="AU72" s="163"/>
      <c r="AV72" s="163"/>
      <c r="AW72" s="163"/>
      <c r="AX72" s="163"/>
      <c r="AY72" s="163"/>
      <c r="AZ72" s="163"/>
      <c r="BA72" s="163"/>
    </row>
    <row r="73" spans="1:53" ht="11.1" customHeight="1" x14ac:dyDescent="0.25">
      <c r="A73" s="266">
        <v>27</v>
      </c>
      <c r="B73" s="390" t="s">
        <v>64</v>
      </c>
      <c r="C73" s="389"/>
      <c r="D73" s="302" t="s">
        <v>522</v>
      </c>
      <c r="E73" s="389"/>
      <c r="F73" s="388" t="s">
        <v>66</v>
      </c>
      <c r="G73" s="290">
        <v>5</v>
      </c>
      <c r="H73" s="291" t="s">
        <v>24</v>
      </c>
      <c r="I73" s="290">
        <v>1</v>
      </c>
      <c r="J73" s="292">
        <v>0</v>
      </c>
      <c r="K73" s="292">
        <v>0</v>
      </c>
      <c r="L73" s="163"/>
      <c r="M73" s="392" t="s">
        <v>174</v>
      </c>
      <c r="N73" s="391"/>
      <c r="O73" s="163"/>
      <c r="P73" s="242"/>
      <c r="Q73" s="242"/>
      <c r="R73" s="242"/>
      <c r="S73" s="243"/>
      <c r="T73" s="243"/>
      <c r="U73" s="243"/>
      <c r="V73" s="244"/>
      <c r="W73" s="244"/>
      <c r="X73" s="244"/>
      <c r="Y73" s="244"/>
      <c r="Z73" s="244"/>
      <c r="AA73" s="244"/>
      <c r="AB73" s="163"/>
      <c r="AC73" s="163"/>
      <c r="AD73" s="163"/>
      <c r="AE73" s="163"/>
      <c r="AF73" s="163"/>
      <c r="AG73" s="163"/>
      <c r="AH73" s="163"/>
      <c r="AI73" s="163"/>
      <c r="AJ73" s="163"/>
      <c r="AK73" s="163"/>
      <c r="AL73" s="163"/>
      <c r="AM73" s="163"/>
      <c r="AN73" s="163"/>
      <c r="AO73" s="163"/>
      <c r="AP73" s="163"/>
      <c r="AQ73" s="163"/>
      <c r="AR73" s="163"/>
      <c r="AS73" s="163"/>
      <c r="AT73" s="163"/>
      <c r="AU73" s="163"/>
      <c r="AV73" s="163"/>
      <c r="AW73" s="163"/>
      <c r="AX73" s="163"/>
      <c r="AY73" s="163"/>
      <c r="AZ73" s="163"/>
      <c r="BA73" s="163"/>
    </row>
    <row r="74" spans="1:53" ht="11.1" customHeight="1" x14ac:dyDescent="0.25">
      <c r="A74" s="266">
        <v>28</v>
      </c>
      <c r="B74" s="390" t="s">
        <v>67</v>
      </c>
      <c r="C74" s="389"/>
      <c r="D74" s="302" t="s">
        <v>522</v>
      </c>
      <c r="E74" s="389"/>
      <c r="F74" s="388" t="s">
        <v>65</v>
      </c>
      <c r="G74" s="290">
        <v>0</v>
      </c>
      <c r="H74" s="291" t="s">
        <v>24</v>
      </c>
      <c r="I74" s="290">
        <v>2</v>
      </c>
      <c r="J74" s="292">
        <v>0</v>
      </c>
      <c r="K74" s="292">
        <v>0</v>
      </c>
      <c r="L74" s="163"/>
      <c r="M74" s="392" t="s">
        <v>176</v>
      </c>
      <c r="N74" s="391"/>
      <c r="O74" s="163"/>
      <c r="P74" s="242"/>
      <c r="Q74" s="242"/>
      <c r="R74" s="242"/>
      <c r="S74" s="243"/>
      <c r="T74" s="243"/>
      <c r="U74" s="243"/>
      <c r="V74" s="244"/>
      <c r="W74" s="244"/>
      <c r="X74" s="244"/>
      <c r="Y74" s="244"/>
      <c r="Z74" s="244"/>
      <c r="AA74" s="244"/>
      <c r="AB74" s="163"/>
      <c r="AC74" s="163"/>
      <c r="AD74" s="163"/>
      <c r="AE74" s="163"/>
      <c r="AF74" s="163"/>
      <c r="AG74" s="163"/>
      <c r="AH74" s="163"/>
      <c r="AI74" s="163"/>
      <c r="AJ74" s="163"/>
      <c r="AK74" s="163"/>
      <c r="AL74" s="163"/>
      <c r="AM74" s="163"/>
      <c r="AN74" s="163"/>
      <c r="AO74" s="163"/>
      <c r="AP74" s="163"/>
      <c r="AQ74" s="163"/>
      <c r="AR74" s="163"/>
      <c r="AS74" s="163"/>
      <c r="AT74" s="163"/>
      <c r="AU74" s="163"/>
      <c r="AV74" s="163"/>
      <c r="AW74" s="163"/>
      <c r="AX74" s="163"/>
      <c r="AY74" s="163"/>
      <c r="AZ74" s="163"/>
      <c r="BA74" s="163"/>
    </row>
    <row r="75" spans="1:53" ht="11.1" customHeight="1" x14ac:dyDescent="0.25">
      <c r="A75" s="266">
        <v>43</v>
      </c>
      <c r="B75" s="390" t="s">
        <v>67</v>
      </c>
      <c r="C75" s="389"/>
      <c r="D75" s="302" t="s">
        <v>522</v>
      </c>
      <c r="E75" s="389"/>
      <c r="F75" s="388" t="s">
        <v>64</v>
      </c>
      <c r="G75" s="290">
        <v>1</v>
      </c>
      <c r="H75" s="291" t="s">
        <v>24</v>
      </c>
      <c r="I75" s="290">
        <v>4</v>
      </c>
      <c r="J75" s="292">
        <v>0</v>
      </c>
      <c r="K75" s="292">
        <v>0</v>
      </c>
      <c r="L75" s="163"/>
      <c r="M75" s="163"/>
      <c r="N75" s="163"/>
      <c r="O75" s="163"/>
      <c r="P75" s="242"/>
      <c r="Q75" s="242"/>
      <c r="R75" s="242"/>
      <c r="S75" s="243"/>
      <c r="T75" s="243"/>
      <c r="U75" s="243"/>
      <c r="V75" s="244"/>
      <c r="W75" s="244"/>
      <c r="X75" s="244"/>
      <c r="Y75" s="244"/>
      <c r="Z75" s="244"/>
      <c r="AA75" s="244"/>
      <c r="AB75" s="163"/>
      <c r="AC75" s="163"/>
      <c r="AD75" s="163"/>
      <c r="AE75" s="163"/>
      <c r="AF75" s="163"/>
      <c r="AG75" s="163"/>
      <c r="AH75" s="163"/>
      <c r="AI75" s="163"/>
      <c r="AJ75" s="163"/>
      <c r="AK75" s="163"/>
      <c r="AL75" s="163"/>
      <c r="AM75" s="163"/>
      <c r="AN75" s="163"/>
      <c r="AO75" s="163"/>
      <c r="AP75" s="163"/>
      <c r="AQ75" s="163"/>
      <c r="AR75" s="163"/>
      <c r="AS75" s="163"/>
      <c r="AT75" s="163"/>
      <c r="AU75" s="163"/>
      <c r="AV75" s="163"/>
      <c r="AW75" s="163"/>
      <c r="AX75" s="163"/>
      <c r="AY75" s="163"/>
      <c r="AZ75" s="163"/>
      <c r="BA75" s="163"/>
    </row>
    <row r="76" spans="1:53" ht="11.1" customHeight="1" x14ac:dyDescent="0.25">
      <c r="A76" s="266">
        <v>44</v>
      </c>
      <c r="B76" s="387" t="s">
        <v>65</v>
      </c>
      <c r="C76" s="386"/>
      <c r="D76" s="305" t="s">
        <v>522</v>
      </c>
      <c r="E76" s="386"/>
      <c r="F76" s="385" t="s">
        <v>66</v>
      </c>
      <c r="G76" s="307">
        <v>3</v>
      </c>
      <c r="H76" s="308" t="s">
        <v>24</v>
      </c>
      <c r="I76" s="307">
        <v>0</v>
      </c>
      <c r="J76" s="539">
        <v>0</v>
      </c>
      <c r="K76" s="539">
        <v>0</v>
      </c>
      <c r="L76" s="163"/>
      <c r="M76" s="163"/>
      <c r="N76" s="163"/>
      <c r="O76" s="163"/>
      <c r="P76" s="242"/>
      <c r="Q76" s="242"/>
      <c r="R76" s="242"/>
      <c r="S76" s="243"/>
      <c r="T76" s="243"/>
      <c r="U76" s="243"/>
      <c r="V76" s="244"/>
      <c r="W76" s="244"/>
      <c r="X76" s="244"/>
      <c r="Y76" s="244"/>
      <c r="Z76" s="244"/>
      <c r="AA76" s="244"/>
      <c r="AB76" s="163"/>
      <c r="AC76" s="163"/>
      <c r="AD76" s="163"/>
      <c r="AE76" s="163"/>
      <c r="AF76" s="163"/>
      <c r="AG76" s="163"/>
      <c r="AH76" s="163"/>
      <c r="AI76" s="163"/>
      <c r="AJ76" s="163"/>
      <c r="AK76" s="163"/>
      <c r="AL76" s="163"/>
      <c r="AM76" s="163"/>
      <c r="AN76" s="163"/>
      <c r="AO76" s="163"/>
      <c r="AP76" s="163"/>
      <c r="AQ76" s="163"/>
      <c r="AR76" s="163"/>
      <c r="AS76" s="163"/>
      <c r="AT76" s="163"/>
      <c r="AU76" s="163"/>
      <c r="AV76" s="163"/>
      <c r="AW76" s="163"/>
      <c r="AX76" s="163"/>
      <c r="AY76" s="163"/>
      <c r="AZ76" s="163"/>
      <c r="BA76" s="163"/>
    </row>
    <row r="77" spans="1:53" ht="11.1" customHeight="1" x14ac:dyDescent="0.25">
      <c r="A77" s="163"/>
      <c r="B77" s="240"/>
      <c r="C77" s="240"/>
      <c r="D77" s="164"/>
      <c r="E77" s="164"/>
      <c r="F77" s="241"/>
      <c r="G77" s="310" t="s">
        <v>523</v>
      </c>
      <c r="H77" s="310"/>
      <c r="I77" s="310"/>
      <c r="J77" s="273">
        <f>SUM(J71:J76)</f>
        <v>0</v>
      </c>
      <c r="K77" s="273">
        <f>SUM(K71:K76)</f>
        <v>0</v>
      </c>
      <c r="L77" s="163"/>
      <c r="M77" s="163"/>
      <c r="N77" s="163"/>
      <c r="O77" s="163"/>
      <c r="P77" s="242"/>
      <c r="Q77" s="242"/>
      <c r="R77" s="242"/>
      <c r="S77" s="243"/>
      <c r="T77" s="243"/>
      <c r="U77" s="243"/>
      <c r="V77" s="244"/>
      <c r="W77" s="244"/>
      <c r="X77" s="244"/>
      <c r="Y77" s="244"/>
      <c r="Z77" s="244"/>
      <c r="AA77" s="244"/>
      <c r="AB77" s="163"/>
      <c r="AC77" s="163"/>
      <c r="AD77" s="163"/>
      <c r="AE77" s="163"/>
      <c r="AF77" s="163"/>
      <c r="AG77" s="163"/>
      <c r="AH77" s="163"/>
      <c r="AI77" s="163"/>
      <c r="AJ77" s="163"/>
      <c r="AK77" s="163"/>
      <c r="AL77" s="163"/>
      <c r="AM77" s="163"/>
      <c r="AN77" s="163"/>
      <c r="AO77" s="163"/>
      <c r="AP77" s="163"/>
      <c r="AQ77" s="163"/>
      <c r="AR77" s="163"/>
      <c r="AS77" s="163"/>
      <c r="AT77" s="163"/>
      <c r="AU77" s="163"/>
      <c r="AV77" s="163"/>
      <c r="AW77" s="163"/>
      <c r="AX77" s="163"/>
      <c r="AY77" s="163"/>
      <c r="AZ77" s="163"/>
      <c r="BA77" s="163"/>
    </row>
    <row r="78" spans="1:53" ht="11.1" customHeight="1" x14ac:dyDescent="0.25">
      <c r="A78" s="163"/>
      <c r="B78" s="240"/>
      <c r="C78" s="240"/>
      <c r="D78" s="164"/>
      <c r="E78" s="164"/>
      <c r="F78" s="241"/>
      <c r="G78" s="311" t="s">
        <v>524</v>
      </c>
      <c r="H78" s="311"/>
      <c r="I78" s="311"/>
      <c r="J78" s="312">
        <f>SUM(J77:K77)</f>
        <v>0</v>
      </c>
      <c r="K78" s="312"/>
      <c r="L78" s="163"/>
      <c r="M78" s="163"/>
      <c r="N78" s="163"/>
      <c r="O78" s="163"/>
      <c r="P78" s="242"/>
      <c r="Q78" s="242"/>
      <c r="R78" s="242"/>
      <c r="S78" s="243"/>
      <c r="T78" s="243"/>
      <c r="U78" s="243"/>
      <c r="V78" s="244"/>
      <c r="W78" s="244"/>
      <c r="X78" s="244"/>
      <c r="Y78" s="244"/>
      <c r="Z78" s="244"/>
      <c r="AA78" s="244"/>
      <c r="AB78" s="163"/>
      <c r="AC78" s="163"/>
      <c r="AD78" s="163"/>
      <c r="AE78" s="163"/>
      <c r="AF78" s="163"/>
      <c r="AG78" s="163"/>
      <c r="AH78" s="163"/>
      <c r="AI78" s="163"/>
      <c r="AJ78" s="163"/>
      <c r="AK78" s="163"/>
      <c r="AL78" s="163"/>
      <c r="AM78" s="163"/>
      <c r="AN78" s="163"/>
      <c r="AO78" s="163"/>
      <c r="AP78" s="163"/>
      <c r="AQ78" s="163"/>
      <c r="AR78" s="163"/>
      <c r="AS78" s="163"/>
      <c r="AT78" s="163"/>
      <c r="AU78" s="163"/>
      <c r="AV78" s="163"/>
      <c r="AW78" s="163"/>
      <c r="AX78" s="163"/>
      <c r="AY78" s="163"/>
      <c r="AZ78" s="163"/>
      <c r="BA78" s="163"/>
    </row>
    <row r="79" spans="1:53" ht="11.1" customHeight="1" x14ac:dyDescent="0.25">
      <c r="A79" s="163"/>
      <c r="B79" s="240"/>
      <c r="C79" s="240"/>
      <c r="D79" s="164"/>
      <c r="E79" s="164"/>
      <c r="F79" s="241"/>
      <c r="G79" s="241"/>
      <c r="H79" s="241"/>
      <c r="I79" s="241"/>
      <c r="J79" s="163"/>
      <c r="K79" s="164"/>
      <c r="L79" s="163"/>
      <c r="M79" s="163"/>
      <c r="N79" s="163"/>
      <c r="O79" s="163"/>
      <c r="P79" s="242"/>
      <c r="Q79" s="242"/>
      <c r="R79" s="242"/>
      <c r="S79" s="243"/>
      <c r="T79" s="243"/>
      <c r="U79" s="243"/>
      <c r="V79" s="244"/>
      <c r="W79" s="244"/>
      <c r="X79" s="244"/>
      <c r="Y79" s="244"/>
      <c r="Z79" s="244"/>
      <c r="AA79" s="244"/>
      <c r="AB79" s="163"/>
      <c r="AC79" s="163"/>
      <c r="AD79" s="163"/>
      <c r="AE79" s="163"/>
      <c r="AF79" s="163"/>
      <c r="AG79" s="163"/>
      <c r="AH79" s="163"/>
      <c r="AI79" s="163"/>
      <c r="AJ79" s="163"/>
      <c r="AK79" s="163"/>
      <c r="AL79" s="163"/>
      <c r="AM79" s="163"/>
      <c r="AN79" s="163"/>
      <c r="AO79" s="163"/>
      <c r="AP79" s="163"/>
      <c r="AQ79" s="163"/>
      <c r="AR79" s="163"/>
      <c r="AS79" s="163"/>
      <c r="AT79" s="163"/>
      <c r="AU79" s="163"/>
      <c r="AV79" s="163"/>
      <c r="AW79" s="163"/>
      <c r="AX79" s="163"/>
      <c r="AY79" s="163"/>
      <c r="AZ79" s="163"/>
      <c r="BA79" s="163"/>
    </row>
    <row r="80" spans="1:53" ht="11.1" customHeight="1" x14ac:dyDescent="0.25">
      <c r="A80" s="163"/>
      <c r="B80" s="608" t="s">
        <v>534</v>
      </c>
      <c r="C80" s="608"/>
      <c r="D80" s="608"/>
      <c r="E80" s="608"/>
      <c r="F80" s="608"/>
      <c r="G80" s="512" t="s">
        <v>487</v>
      </c>
      <c r="H80" s="512"/>
      <c r="I80" s="512"/>
      <c r="J80" s="512" t="s">
        <v>514</v>
      </c>
      <c r="K80" s="512"/>
      <c r="L80" s="163"/>
      <c r="M80" s="163"/>
      <c r="N80" s="163"/>
      <c r="O80" s="163"/>
      <c r="P80" s="242"/>
      <c r="Q80" s="242"/>
      <c r="R80" s="242"/>
      <c r="S80" s="243"/>
      <c r="T80" s="243"/>
      <c r="U80" s="243"/>
      <c r="V80" s="244"/>
      <c r="W80" s="244"/>
      <c r="X80" s="244"/>
      <c r="Y80" s="244"/>
      <c r="Z80" s="244"/>
      <c r="AA80" s="244"/>
      <c r="AB80" s="163"/>
      <c r="AC80" s="163"/>
      <c r="AD80" s="163"/>
      <c r="AE80" s="163"/>
      <c r="AF80" s="163"/>
      <c r="AG80" s="163"/>
      <c r="AH80" s="163"/>
      <c r="AI80" s="163"/>
      <c r="AJ80" s="163"/>
      <c r="AK80" s="163"/>
      <c r="AL80" s="163"/>
      <c r="AM80" s="163"/>
      <c r="AN80" s="163"/>
      <c r="AO80" s="163"/>
      <c r="AP80" s="163"/>
      <c r="AQ80" s="163"/>
      <c r="AR80" s="163"/>
      <c r="AS80" s="163"/>
      <c r="AT80" s="163"/>
      <c r="AU80" s="163"/>
      <c r="AV80" s="163"/>
      <c r="AW80" s="163"/>
      <c r="AX80" s="163"/>
      <c r="AY80" s="163"/>
      <c r="AZ80" s="163"/>
      <c r="BA80" s="163"/>
    </row>
    <row r="81" spans="1:53" ht="11.1" customHeight="1" x14ac:dyDescent="0.25">
      <c r="A81" s="163"/>
      <c r="B81" s="608"/>
      <c r="C81" s="608"/>
      <c r="D81" s="608"/>
      <c r="E81" s="608"/>
      <c r="F81" s="608"/>
      <c r="G81" s="261" t="s">
        <v>517</v>
      </c>
      <c r="H81" s="261"/>
      <c r="I81" s="261"/>
      <c r="J81" s="262" t="s">
        <v>518</v>
      </c>
      <c r="K81" s="262" t="s">
        <v>519</v>
      </c>
      <c r="L81" s="163"/>
      <c r="M81" s="263" t="s">
        <v>476</v>
      </c>
      <c r="N81" s="264"/>
      <c r="O81" s="163"/>
      <c r="P81" s="242"/>
      <c r="Q81" s="242"/>
      <c r="R81" s="242"/>
      <c r="S81" s="243"/>
      <c r="T81" s="243"/>
      <c r="U81" s="243"/>
      <c r="V81" s="244"/>
      <c r="W81" s="244"/>
      <c r="X81" s="244"/>
      <c r="Y81" s="244"/>
      <c r="Z81" s="244"/>
      <c r="AA81" s="244"/>
      <c r="AB81" s="163"/>
      <c r="AC81" s="163"/>
      <c r="AD81" s="163"/>
      <c r="AE81" s="163"/>
      <c r="AF81" s="163"/>
      <c r="AG81" s="163"/>
      <c r="AH81" s="163"/>
      <c r="AI81" s="163"/>
      <c r="AJ81" s="163"/>
      <c r="AK81" s="163"/>
      <c r="AL81" s="163"/>
      <c r="AM81" s="163"/>
      <c r="AN81" s="163"/>
      <c r="AO81" s="163"/>
      <c r="AP81" s="163"/>
      <c r="AQ81" s="163"/>
      <c r="AR81" s="163"/>
      <c r="AS81" s="163"/>
      <c r="AT81" s="163"/>
      <c r="AU81" s="163"/>
      <c r="AV81" s="163"/>
      <c r="AW81" s="163"/>
      <c r="AX81" s="163"/>
      <c r="AY81" s="163"/>
      <c r="AZ81" s="163"/>
      <c r="BA81" s="163"/>
    </row>
    <row r="82" spans="1:53" ht="11.1" customHeight="1" x14ac:dyDescent="0.25">
      <c r="A82" s="266">
        <v>13</v>
      </c>
      <c r="B82" s="395" t="s">
        <v>69</v>
      </c>
      <c r="C82" s="394"/>
      <c r="D82" s="269" t="s">
        <v>522</v>
      </c>
      <c r="E82" s="394"/>
      <c r="F82" s="393" t="s">
        <v>70</v>
      </c>
      <c r="G82" s="271">
        <v>2</v>
      </c>
      <c r="H82" s="272" t="s">
        <v>24</v>
      </c>
      <c r="I82" s="271">
        <v>2</v>
      </c>
      <c r="J82" s="273">
        <v>0</v>
      </c>
      <c r="K82" s="273">
        <v>0</v>
      </c>
      <c r="L82" s="163"/>
      <c r="M82" s="392" t="s">
        <v>178</v>
      </c>
      <c r="N82" s="391"/>
      <c r="O82" s="163"/>
      <c r="P82" s="242"/>
      <c r="Q82" s="242"/>
      <c r="R82" s="242"/>
      <c r="S82" s="243"/>
      <c r="T82" s="243"/>
      <c r="U82" s="243"/>
      <c r="V82" s="244"/>
      <c r="W82" s="244"/>
      <c r="X82" s="244"/>
      <c r="Y82" s="244"/>
      <c r="Z82" s="244"/>
      <c r="AA82" s="244"/>
      <c r="AB82" s="163"/>
      <c r="AC82" s="163"/>
      <c r="AD82" s="163"/>
      <c r="AE82" s="163"/>
      <c r="AF82" s="163"/>
      <c r="AG82" s="163"/>
      <c r="AH82" s="163"/>
      <c r="AI82" s="163"/>
      <c r="AJ82" s="163"/>
      <c r="AK82" s="163"/>
      <c r="AL82" s="163"/>
      <c r="AM82" s="163"/>
      <c r="AN82" s="163"/>
      <c r="AO82" s="163"/>
      <c r="AP82" s="163"/>
      <c r="AQ82" s="163"/>
      <c r="AR82" s="163"/>
      <c r="AS82" s="163"/>
      <c r="AT82" s="163"/>
      <c r="AU82" s="163"/>
      <c r="AV82" s="163"/>
      <c r="AW82" s="163"/>
      <c r="AX82" s="163"/>
      <c r="AY82" s="163"/>
      <c r="AZ82" s="163"/>
      <c r="BA82" s="163"/>
    </row>
    <row r="83" spans="1:53" ht="11.1" customHeight="1" x14ac:dyDescent="0.25">
      <c r="A83" s="266">
        <v>14</v>
      </c>
      <c r="B83" s="390" t="s">
        <v>71</v>
      </c>
      <c r="C83" s="389"/>
      <c r="D83" s="302" t="s">
        <v>522</v>
      </c>
      <c r="E83" s="389"/>
      <c r="F83" s="388" t="s">
        <v>72</v>
      </c>
      <c r="G83" s="290">
        <v>1</v>
      </c>
      <c r="H83" s="291" t="s">
        <v>24</v>
      </c>
      <c r="I83" s="290">
        <v>1</v>
      </c>
      <c r="J83" s="292">
        <v>0</v>
      </c>
      <c r="K83" s="292">
        <v>0</v>
      </c>
      <c r="L83" s="163"/>
      <c r="M83" s="392" t="s">
        <v>180</v>
      </c>
      <c r="N83" s="391"/>
      <c r="O83" s="163"/>
      <c r="P83" s="242"/>
      <c r="Q83" s="242"/>
      <c r="R83" s="242"/>
      <c r="S83" s="243"/>
      <c r="T83" s="243"/>
      <c r="U83" s="243"/>
      <c r="V83" s="244"/>
      <c r="W83" s="244"/>
      <c r="X83" s="244"/>
      <c r="Y83" s="244"/>
      <c r="Z83" s="244"/>
      <c r="AA83" s="244"/>
      <c r="AB83" s="163"/>
      <c r="AC83" s="163"/>
      <c r="AD83" s="163"/>
      <c r="AE83" s="163"/>
      <c r="AF83" s="163"/>
      <c r="AG83" s="163"/>
      <c r="AH83" s="163"/>
      <c r="AI83" s="163"/>
      <c r="AJ83" s="163"/>
      <c r="AK83" s="163"/>
      <c r="AL83" s="163"/>
      <c r="AM83" s="163"/>
      <c r="AN83" s="163"/>
      <c r="AO83" s="163"/>
      <c r="AP83" s="163"/>
      <c r="AQ83" s="163"/>
      <c r="AR83" s="163"/>
      <c r="AS83" s="163"/>
      <c r="AT83" s="163"/>
      <c r="AU83" s="163"/>
      <c r="AV83" s="163"/>
      <c r="AW83" s="163"/>
      <c r="AX83" s="163"/>
      <c r="AY83" s="163"/>
      <c r="AZ83" s="163"/>
      <c r="BA83" s="163"/>
    </row>
    <row r="84" spans="1:53" ht="11.1" customHeight="1" x14ac:dyDescent="0.25">
      <c r="A84" s="266">
        <v>29</v>
      </c>
      <c r="B84" s="390" t="s">
        <v>69</v>
      </c>
      <c r="C84" s="389"/>
      <c r="D84" s="302" t="s">
        <v>522</v>
      </c>
      <c r="E84" s="389"/>
      <c r="F84" s="388" t="s">
        <v>71</v>
      </c>
      <c r="G84" s="290">
        <v>2</v>
      </c>
      <c r="H84" s="291" t="s">
        <v>24</v>
      </c>
      <c r="I84" s="290">
        <v>1</v>
      </c>
      <c r="J84" s="292">
        <v>0</v>
      </c>
      <c r="K84" s="292">
        <v>0</v>
      </c>
      <c r="L84" s="163"/>
      <c r="M84" s="392" t="s">
        <v>182</v>
      </c>
      <c r="N84" s="391"/>
      <c r="O84" s="163"/>
      <c r="P84" s="242"/>
      <c r="Q84" s="242"/>
      <c r="R84" s="242"/>
      <c r="S84" s="243"/>
      <c r="T84" s="243"/>
      <c r="U84" s="243"/>
      <c r="V84" s="244"/>
      <c r="W84" s="244"/>
      <c r="X84" s="244"/>
      <c r="Y84" s="244"/>
      <c r="Z84" s="244"/>
      <c r="AA84" s="244"/>
      <c r="AB84" s="163"/>
      <c r="AC84" s="163"/>
      <c r="AD84" s="163"/>
      <c r="AE84" s="163"/>
      <c r="AF84" s="163"/>
      <c r="AG84" s="163"/>
      <c r="AH84" s="163"/>
      <c r="AI84" s="163"/>
      <c r="AJ84" s="163"/>
      <c r="AK84" s="163"/>
      <c r="AL84" s="163"/>
      <c r="AM84" s="163"/>
      <c r="AN84" s="163"/>
      <c r="AO84" s="163"/>
      <c r="AP84" s="163"/>
      <c r="AQ84" s="163"/>
      <c r="AR84" s="163"/>
      <c r="AS84" s="163"/>
      <c r="AT84" s="163"/>
      <c r="AU84" s="163"/>
      <c r="AV84" s="163"/>
      <c r="AW84" s="163"/>
      <c r="AX84" s="163"/>
      <c r="AY84" s="163"/>
      <c r="AZ84" s="163"/>
      <c r="BA84" s="163"/>
    </row>
    <row r="85" spans="1:53" ht="11.1" customHeight="1" x14ac:dyDescent="0.25">
      <c r="A85" s="266">
        <v>30</v>
      </c>
      <c r="B85" s="390" t="s">
        <v>72</v>
      </c>
      <c r="C85" s="389"/>
      <c r="D85" s="302" t="s">
        <v>522</v>
      </c>
      <c r="E85" s="389"/>
      <c r="F85" s="388" t="s">
        <v>70</v>
      </c>
      <c r="G85" s="290">
        <v>1</v>
      </c>
      <c r="H85" s="291" t="s">
        <v>24</v>
      </c>
      <c r="I85" s="290">
        <v>3</v>
      </c>
      <c r="J85" s="292">
        <v>0</v>
      </c>
      <c r="K85" s="292">
        <v>0</v>
      </c>
      <c r="L85" s="163"/>
      <c r="M85" s="392" t="s">
        <v>185</v>
      </c>
      <c r="N85" s="391"/>
      <c r="O85" s="163"/>
      <c r="P85" s="242"/>
      <c r="Q85" s="242"/>
      <c r="R85" s="242"/>
      <c r="S85" s="243"/>
      <c r="T85" s="243"/>
      <c r="U85" s="243"/>
      <c r="V85" s="244"/>
      <c r="W85" s="244"/>
      <c r="X85" s="244"/>
      <c r="Y85" s="244"/>
      <c r="Z85" s="244"/>
      <c r="AA85" s="244"/>
      <c r="AB85" s="163"/>
      <c r="AC85" s="163"/>
      <c r="AD85" s="163"/>
      <c r="AE85" s="163"/>
      <c r="AF85" s="163"/>
      <c r="AG85" s="163"/>
      <c r="AH85" s="163"/>
      <c r="AI85" s="163"/>
      <c r="AJ85" s="163"/>
      <c r="AK85" s="163"/>
      <c r="AL85" s="163"/>
      <c r="AM85" s="163"/>
      <c r="AN85" s="163"/>
      <c r="AO85" s="163"/>
      <c r="AP85" s="163"/>
      <c r="AQ85" s="163"/>
      <c r="AR85" s="163"/>
      <c r="AS85" s="163"/>
      <c r="AT85" s="163"/>
      <c r="AU85" s="163"/>
      <c r="AV85" s="163"/>
      <c r="AW85" s="163"/>
      <c r="AX85" s="163"/>
      <c r="AY85" s="163"/>
      <c r="AZ85" s="163"/>
      <c r="BA85" s="163"/>
    </row>
    <row r="86" spans="1:53" ht="11.1" customHeight="1" x14ac:dyDescent="0.25">
      <c r="A86" s="266">
        <v>45</v>
      </c>
      <c r="B86" s="390" t="s">
        <v>72</v>
      </c>
      <c r="C86" s="389"/>
      <c r="D86" s="302" t="s">
        <v>522</v>
      </c>
      <c r="E86" s="389"/>
      <c r="F86" s="388" t="s">
        <v>69</v>
      </c>
      <c r="G86" s="290">
        <v>1</v>
      </c>
      <c r="H86" s="291" t="s">
        <v>24</v>
      </c>
      <c r="I86" s="290">
        <v>3</v>
      </c>
      <c r="J86" s="292">
        <v>0</v>
      </c>
      <c r="K86" s="292">
        <v>0</v>
      </c>
      <c r="L86" s="163"/>
      <c r="M86" s="163"/>
      <c r="N86" s="163"/>
      <c r="O86" s="163"/>
      <c r="P86" s="242"/>
      <c r="Q86" s="242"/>
      <c r="R86" s="242"/>
      <c r="S86" s="243"/>
      <c r="T86" s="243"/>
      <c r="U86" s="243"/>
      <c r="V86" s="244"/>
      <c r="W86" s="244"/>
      <c r="X86" s="244"/>
      <c r="Y86" s="244"/>
      <c r="Z86" s="244"/>
      <c r="AA86" s="244"/>
      <c r="AB86" s="163"/>
      <c r="AC86" s="163"/>
      <c r="AD86" s="163"/>
      <c r="AE86" s="163"/>
      <c r="AF86" s="163"/>
      <c r="AG86" s="163"/>
      <c r="AH86" s="163"/>
      <c r="AI86" s="163"/>
      <c r="AJ86" s="163"/>
      <c r="AK86" s="163"/>
      <c r="AL86" s="163"/>
      <c r="AM86" s="163"/>
      <c r="AN86" s="163"/>
      <c r="AO86" s="163"/>
      <c r="AP86" s="163"/>
      <c r="AQ86" s="163"/>
      <c r="AR86" s="163"/>
      <c r="AS86" s="163"/>
      <c r="AT86" s="163"/>
      <c r="AU86" s="163"/>
      <c r="AV86" s="163"/>
      <c r="AW86" s="163"/>
      <c r="AX86" s="163"/>
      <c r="AY86" s="163"/>
      <c r="AZ86" s="163"/>
      <c r="BA86" s="163"/>
    </row>
    <row r="87" spans="1:53" ht="11.1" customHeight="1" x14ac:dyDescent="0.25">
      <c r="A87" s="266">
        <v>46</v>
      </c>
      <c r="B87" s="387" t="s">
        <v>70</v>
      </c>
      <c r="C87" s="386"/>
      <c r="D87" s="305" t="s">
        <v>522</v>
      </c>
      <c r="E87" s="386"/>
      <c r="F87" s="385" t="s">
        <v>71</v>
      </c>
      <c r="G87" s="307">
        <v>3</v>
      </c>
      <c r="H87" s="308" t="s">
        <v>24</v>
      </c>
      <c r="I87" s="307">
        <v>1</v>
      </c>
      <c r="J87" s="539">
        <v>0</v>
      </c>
      <c r="K87" s="539">
        <v>0</v>
      </c>
      <c r="L87" s="163"/>
      <c r="M87" s="163"/>
      <c r="N87" s="163"/>
      <c r="O87" s="163"/>
      <c r="P87" s="242"/>
      <c r="Q87" s="242"/>
      <c r="R87" s="242"/>
      <c r="S87" s="243"/>
      <c r="T87" s="243"/>
      <c r="U87" s="243"/>
      <c r="V87" s="244"/>
      <c r="W87" s="244"/>
      <c r="X87" s="244"/>
      <c r="Y87" s="244"/>
      <c r="Z87" s="244"/>
      <c r="AA87" s="244"/>
      <c r="AB87" s="163"/>
      <c r="AC87" s="163"/>
      <c r="AD87" s="163"/>
      <c r="AE87" s="163"/>
      <c r="AF87" s="163"/>
      <c r="AG87" s="163"/>
      <c r="AH87" s="163"/>
      <c r="AI87" s="163"/>
      <c r="AJ87" s="163"/>
      <c r="AK87" s="163"/>
      <c r="AL87" s="163"/>
      <c r="AM87" s="163"/>
      <c r="AN87" s="163"/>
      <c r="AO87" s="163"/>
      <c r="AP87" s="163"/>
      <c r="AQ87" s="163"/>
      <c r="AR87" s="163"/>
      <c r="AS87" s="163"/>
      <c r="AT87" s="163"/>
      <c r="AU87" s="163"/>
      <c r="AV87" s="163"/>
      <c r="AW87" s="163"/>
      <c r="AX87" s="163"/>
      <c r="AY87" s="163"/>
      <c r="AZ87" s="163"/>
      <c r="BA87" s="163"/>
    </row>
    <row r="88" spans="1:53" ht="11.1" customHeight="1" x14ac:dyDescent="0.25">
      <c r="A88" s="163"/>
      <c r="B88" s="240"/>
      <c r="C88" s="240"/>
      <c r="D88" s="164"/>
      <c r="E88" s="164"/>
      <c r="F88" s="241"/>
      <c r="G88" s="310" t="s">
        <v>523</v>
      </c>
      <c r="H88" s="310"/>
      <c r="I88" s="310"/>
      <c r="J88" s="273">
        <f>SUM(J82:J87)</f>
        <v>0</v>
      </c>
      <c r="K88" s="273">
        <f>SUM(K82:K87)</f>
        <v>0</v>
      </c>
      <c r="L88" s="163"/>
      <c r="M88" s="163"/>
      <c r="N88" s="163"/>
      <c r="O88" s="163"/>
      <c r="P88" s="242"/>
      <c r="Q88" s="242"/>
      <c r="R88" s="242"/>
      <c r="S88" s="243"/>
      <c r="T88" s="243"/>
      <c r="U88" s="243"/>
      <c r="V88" s="244"/>
      <c r="W88" s="244"/>
      <c r="X88" s="244"/>
      <c r="Y88" s="244"/>
      <c r="Z88" s="244"/>
      <c r="AA88" s="244"/>
      <c r="AB88" s="163"/>
      <c r="AC88" s="163"/>
      <c r="AD88" s="163"/>
      <c r="AE88" s="163"/>
      <c r="AF88" s="163"/>
      <c r="AG88" s="163"/>
      <c r="AH88" s="163"/>
      <c r="AI88" s="163"/>
      <c r="AJ88" s="163"/>
      <c r="AK88" s="163"/>
      <c r="AL88" s="163"/>
      <c r="AM88" s="163"/>
      <c r="AN88" s="163"/>
      <c r="AO88" s="163"/>
      <c r="AP88" s="163"/>
      <c r="AQ88" s="163"/>
      <c r="AR88" s="163"/>
      <c r="AS88" s="163"/>
      <c r="AT88" s="163"/>
      <c r="AU88" s="163"/>
      <c r="AV88" s="163"/>
      <c r="AW88" s="163"/>
      <c r="AX88" s="163"/>
      <c r="AY88" s="163"/>
      <c r="AZ88" s="163"/>
      <c r="BA88" s="163"/>
    </row>
    <row r="89" spans="1:53" ht="11.1" customHeight="1" x14ac:dyDescent="0.25">
      <c r="A89" s="163"/>
      <c r="B89" s="240"/>
      <c r="C89" s="240"/>
      <c r="D89" s="164"/>
      <c r="E89" s="164"/>
      <c r="F89" s="241"/>
      <c r="G89" s="311" t="s">
        <v>524</v>
      </c>
      <c r="H89" s="311"/>
      <c r="I89" s="311"/>
      <c r="J89" s="312">
        <f>SUM(J88:K88)</f>
        <v>0</v>
      </c>
      <c r="K89" s="312"/>
      <c r="L89" s="163"/>
      <c r="M89" s="163"/>
      <c r="N89" s="163"/>
      <c r="O89" s="163"/>
      <c r="P89" s="242"/>
      <c r="Q89" s="242"/>
      <c r="R89" s="242"/>
      <c r="S89" s="243"/>
      <c r="T89" s="243"/>
      <c r="U89" s="243"/>
      <c r="V89" s="244"/>
      <c r="W89" s="244"/>
      <c r="X89" s="244"/>
      <c r="Y89" s="244"/>
      <c r="Z89" s="244"/>
      <c r="AA89" s="244"/>
      <c r="AB89" s="163"/>
      <c r="AC89" s="163"/>
      <c r="AD89" s="163"/>
      <c r="AE89" s="163"/>
      <c r="AF89" s="163"/>
      <c r="AG89" s="163"/>
      <c r="AH89" s="163"/>
      <c r="AI89" s="163"/>
      <c r="AJ89" s="163"/>
      <c r="AK89" s="163"/>
      <c r="AL89" s="163"/>
      <c r="AM89" s="163"/>
      <c r="AN89" s="163"/>
      <c r="AO89" s="163"/>
      <c r="AP89" s="163"/>
      <c r="AQ89" s="163"/>
      <c r="AR89" s="163"/>
      <c r="AS89" s="163"/>
      <c r="AT89" s="163"/>
      <c r="AU89" s="163"/>
      <c r="AV89" s="163"/>
      <c r="AW89" s="163"/>
      <c r="AX89" s="163"/>
      <c r="AY89" s="163"/>
      <c r="AZ89" s="163"/>
      <c r="BA89" s="163"/>
    </row>
    <row r="90" spans="1:53" ht="11.1" customHeight="1" x14ac:dyDescent="0.25">
      <c r="A90" s="163"/>
      <c r="B90" s="240"/>
      <c r="C90" s="240"/>
      <c r="D90" s="164"/>
      <c r="E90" s="164"/>
      <c r="F90" s="241"/>
      <c r="G90" s="241"/>
      <c r="H90" s="241"/>
      <c r="I90" s="241"/>
      <c r="J90" s="163"/>
      <c r="K90" s="164"/>
      <c r="L90" s="163"/>
      <c r="M90" s="163"/>
      <c r="N90" s="163"/>
      <c r="O90" s="163"/>
      <c r="P90" s="242"/>
      <c r="Q90" s="242"/>
      <c r="R90" s="242"/>
      <c r="S90" s="243"/>
      <c r="T90" s="243"/>
      <c r="U90" s="243"/>
      <c r="V90" s="244"/>
      <c r="W90" s="244"/>
      <c r="X90" s="244"/>
      <c r="Y90" s="244"/>
      <c r="Z90" s="244"/>
      <c r="AA90" s="244"/>
      <c r="AB90" s="163"/>
      <c r="AC90" s="163"/>
      <c r="AD90" s="163"/>
      <c r="AE90" s="163"/>
      <c r="AF90" s="163"/>
      <c r="AG90" s="163"/>
      <c r="AH90" s="163"/>
      <c r="AI90" s="163"/>
      <c r="AJ90" s="163"/>
      <c r="AK90" s="163"/>
      <c r="AL90" s="163"/>
      <c r="AM90" s="163"/>
      <c r="AN90" s="163"/>
      <c r="AO90" s="163"/>
      <c r="AP90" s="163"/>
      <c r="AQ90" s="163"/>
      <c r="AR90" s="163"/>
      <c r="AS90" s="163"/>
      <c r="AT90" s="163"/>
      <c r="AU90" s="163"/>
      <c r="AV90" s="163"/>
      <c r="AW90" s="163"/>
      <c r="AX90" s="163"/>
      <c r="AY90" s="163"/>
      <c r="AZ90" s="163"/>
      <c r="BA90" s="163"/>
    </row>
    <row r="91" spans="1:53" ht="11.1" customHeight="1" x14ac:dyDescent="0.25">
      <c r="A91" s="163"/>
      <c r="B91" s="608" t="s">
        <v>535</v>
      </c>
      <c r="C91" s="608"/>
      <c r="D91" s="608"/>
      <c r="E91" s="608"/>
      <c r="F91" s="608"/>
      <c r="G91" s="512" t="s">
        <v>487</v>
      </c>
      <c r="H91" s="512"/>
      <c r="I91" s="512"/>
      <c r="J91" s="512" t="s">
        <v>514</v>
      </c>
      <c r="K91" s="512"/>
      <c r="L91" s="163"/>
      <c r="M91" s="163"/>
      <c r="N91" s="163"/>
      <c r="O91" s="163"/>
      <c r="P91" s="242"/>
      <c r="Q91" s="242"/>
      <c r="R91" s="242"/>
      <c r="S91" s="243"/>
      <c r="T91" s="243"/>
      <c r="U91" s="243"/>
      <c r="V91" s="244"/>
      <c r="W91" s="244"/>
      <c r="X91" s="244"/>
      <c r="Y91" s="244"/>
      <c r="Z91" s="244"/>
      <c r="AA91" s="244"/>
      <c r="AB91" s="163"/>
      <c r="AC91" s="163"/>
      <c r="AD91" s="163"/>
      <c r="AE91" s="163"/>
      <c r="AF91" s="163"/>
      <c r="AG91" s="163"/>
      <c r="AH91" s="163"/>
      <c r="AI91" s="163"/>
      <c r="AJ91" s="163"/>
      <c r="AK91" s="163"/>
      <c r="AL91" s="163"/>
      <c r="AM91" s="163"/>
      <c r="AN91" s="163"/>
      <c r="AO91" s="163"/>
      <c r="AP91" s="163"/>
      <c r="AQ91" s="163"/>
      <c r="AR91" s="163"/>
      <c r="AS91" s="163"/>
      <c r="AT91" s="163"/>
      <c r="AU91" s="163"/>
      <c r="AV91" s="163"/>
      <c r="AW91" s="163"/>
      <c r="AX91" s="163"/>
      <c r="AY91" s="163"/>
      <c r="AZ91" s="163"/>
      <c r="BA91" s="163"/>
    </row>
    <row r="92" spans="1:53" ht="11.1" customHeight="1" x14ac:dyDescent="0.25">
      <c r="A92" s="163"/>
      <c r="B92" s="608"/>
      <c r="C92" s="608"/>
      <c r="D92" s="608"/>
      <c r="E92" s="608"/>
      <c r="F92" s="608"/>
      <c r="G92" s="261" t="s">
        <v>517</v>
      </c>
      <c r="H92" s="261"/>
      <c r="I92" s="261"/>
      <c r="J92" s="262" t="s">
        <v>518</v>
      </c>
      <c r="K92" s="262" t="s">
        <v>519</v>
      </c>
      <c r="L92" s="163"/>
      <c r="M92" s="263" t="s">
        <v>476</v>
      </c>
      <c r="N92" s="264"/>
      <c r="O92" s="163"/>
      <c r="P92" s="242"/>
      <c r="Q92" s="242"/>
      <c r="R92" s="242"/>
      <c r="S92" s="243"/>
      <c r="T92" s="243"/>
      <c r="U92" s="243"/>
      <c r="V92" s="244"/>
      <c r="W92" s="244"/>
      <c r="X92" s="244"/>
      <c r="Y92" s="244"/>
      <c r="Z92" s="244"/>
      <c r="AA92" s="244"/>
      <c r="AB92" s="163"/>
      <c r="AC92" s="163"/>
      <c r="AD92" s="163"/>
      <c r="AE92" s="163"/>
      <c r="AF92" s="163"/>
      <c r="AG92" s="163"/>
      <c r="AH92" s="163"/>
      <c r="AI92" s="163"/>
      <c r="AJ92" s="163"/>
      <c r="AK92" s="163"/>
      <c r="AL92" s="163"/>
      <c r="AM92" s="163"/>
      <c r="AN92" s="163"/>
      <c r="AO92" s="163"/>
      <c r="AP92" s="163"/>
      <c r="AQ92" s="163"/>
      <c r="AR92" s="163"/>
      <c r="AS92" s="163"/>
      <c r="AT92" s="163"/>
      <c r="AU92" s="163"/>
      <c r="AV92" s="163"/>
      <c r="AW92" s="163"/>
      <c r="AX92" s="163"/>
      <c r="AY92" s="163"/>
      <c r="AZ92" s="163"/>
      <c r="BA92" s="163"/>
    </row>
    <row r="93" spans="1:53" ht="11.1" customHeight="1" x14ac:dyDescent="0.25">
      <c r="A93" s="266">
        <v>15</v>
      </c>
      <c r="B93" s="395" t="s">
        <v>74</v>
      </c>
      <c r="C93" s="394"/>
      <c r="D93" s="269" t="s">
        <v>522</v>
      </c>
      <c r="E93" s="394"/>
      <c r="F93" s="393" t="s">
        <v>75</v>
      </c>
      <c r="G93" s="271">
        <v>1</v>
      </c>
      <c r="H93" s="272" t="s">
        <v>24</v>
      </c>
      <c r="I93" s="271">
        <v>1</v>
      </c>
      <c r="J93" s="273">
        <v>0</v>
      </c>
      <c r="K93" s="273">
        <v>0</v>
      </c>
      <c r="L93" s="163"/>
      <c r="M93" s="392" t="s">
        <v>188</v>
      </c>
      <c r="N93" s="391"/>
      <c r="O93" s="163"/>
      <c r="P93" s="242"/>
      <c r="Q93" s="242"/>
      <c r="R93" s="242"/>
      <c r="S93" s="243"/>
      <c r="T93" s="243"/>
      <c r="U93" s="243"/>
      <c r="V93" s="244"/>
      <c r="W93" s="244"/>
      <c r="X93" s="244"/>
      <c r="Y93" s="244"/>
      <c r="Z93" s="244"/>
      <c r="AA93" s="244"/>
      <c r="AB93" s="163"/>
      <c r="AC93" s="163"/>
      <c r="AD93" s="163"/>
      <c r="AE93" s="163"/>
      <c r="AF93" s="163"/>
      <c r="AG93" s="163"/>
      <c r="AH93" s="163"/>
      <c r="AI93" s="163"/>
      <c r="AJ93" s="163"/>
      <c r="AK93" s="163"/>
      <c r="AL93" s="163"/>
      <c r="AM93" s="163"/>
      <c r="AN93" s="163"/>
      <c r="AO93" s="163"/>
      <c r="AP93" s="163"/>
      <c r="AQ93" s="163"/>
      <c r="AR93" s="163"/>
      <c r="AS93" s="163"/>
      <c r="AT93" s="163"/>
      <c r="AU93" s="163"/>
      <c r="AV93" s="163"/>
      <c r="AW93" s="163"/>
      <c r="AX93" s="163"/>
      <c r="AY93" s="163"/>
      <c r="AZ93" s="163"/>
      <c r="BA93" s="163"/>
    </row>
    <row r="94" spans="1:53" ht="11.1" customHeight="1" x14ac:dyDescent="0.25">
      <c r="A94" s="266">
        <v>16</v>
      </c>
      <c r="B94" s="390" t="s">
        <v>76</v>
      </c>
      <c r="C94" s="389"/>
      <c r="D94" s="302" t="s">
        <v>522</v>
      </c>
      <c r="E94" s="389"/>
      <c r="F94" s="388" t="s">
        <v>77</v>
      </c>
      <c r="G94" s="290">
        <v>2</v>
      </c>
      <c r="H94" s="291" t="s">
        <v>24</v>
      </c>
      <c r="I94" s="290">
        <v>1</v>
      </c>
      <c r="J94" s="292">
        <v>0</v>
      </c>
      <c r="K94" s="292">
        <v>0</v>
      </c>
      <c r="L94" s="163"/>
      <c r="M94" s="392" t="s">
        <v>190</v>
      </c>
      <c r="N94" s="391"/>
      <c r="O94" s="163"/>
      <c r="P94" s="242"/>
      <c r="Q94" s="242"/>
      <c r="R94" s="242"/>
      <c r="S94" s="243"/>
      <c r="T94" s="243"/>
      <c r="U94" s="243"/>
      <c r="V94" s="244"/>
      <c r="W94" s="244"/>
      <c r="X94" s="244"/>
      <c r="Y94" s="244"/>
      <c r="Z94" s="244"/>
      <c r="AA94" s="244"/>
      <c r="AB94" s="163"/>
      <c r="AC94" s="163"/>
      <c r="AD94" s="163"/>
      <c r="AE94" s="163"/>
      <c r="AF94" s="163"/>
      <c r="AG94" s="163"/>
      <c r="AH94" s="163"/>
      <c r="AI94" s="163"/>
      <c r="AJ94" s="163"/>
      <c r="AK94" s="163"/>
      <c r="AL94" s="163"/>
      <c r="AM94" s="163"/>
      <c r="AN94" s="163"/>
      <c r="AO94" s="163"/>
      <c r="AP94" s="163"/>
      <c r="AQ94" s="163"/>
      <c r="AR94" s="163"/>
      <c r="AS94" s="163"/>
      <c r="AT94" s="163"/>
      <c r="AU94" s="163"/>
      <c r="AV94" s="163"/>
      <c r="AW94" s="163"/>
      <c r="AX94" s="163"/>
      <c r="AY94" s="163"/>
      <c r="AZ94" s="163"/>
      <c r="BA94" s="163"/>
    </row>
    <row r="95" spans="1:53" ht="11.1" customHeight="1" x14ac:dyDescent="0.25">
      <c r="A95" s="266">
        <v>31</v>
      </c>
      <c r="B95" s="390" t="s">
        <v>74</v>
      </c>
      <c r="C95" s="389"/>
      <c r="D95" s="302" t="s">
        <v>522</v>
      </c>
      <c r="E95" s="389"/>
      <c r="F95" s="388" t="s">
        <v>76</v>
      </c>
      <c r="G95" s="290">
        <v>3</v>
      </c>
      <c r="H95" s="291" t="s">
        <v>24</v>
      </c>
      <c r="I95" s="290">
        <v>1</v>
      </c>
      <c r="J95" s="292">
        <v>0</v>
      </c>
      <c r="K95" s="292">
        <v>0</v>
      </c>
      <c r="L95" s="163"/>
      <c r="M95" s="392" t="s">
        <v>192</v>
      </c>
      <c r="N95" s="391"/>
      <c r="O95" s="163"/>
      <c r="P95" s="242"/>
      <c r="Q95" s="242"/>
      <c r="R95" s="242"/>
      <c r="S95" s="243"/>
      <c r="T95" s="243"/>
      <c r="U95" s="243"/>
      <c r="V95" s="244"/>
      <c r="W95" s="244"/>
      <c r="X95" s="244"/>
      <c r="Y95" s="244"/>
      <c r="Z95" s="244"/>
      <c r="AA95" s="244"/>
      <c r="AB95" s="163"/>
      <c r="AC95" s="163"/>
      <c r="AD95" s="163"/>
      <c r="AE95" s="163"/>
      <c r="AF95" s="163"/>
      <c r="AG95" s="163"/>
      <c r="AH95" s="163"/>
      <c r="AI95" s="163"/>
      <c r="AJ95" s="163"/>
      <c r="AK95" s="163"/>
      <c r="AL95" s="163"/>
      <c r="AM95" s="163"/>
      <c r="AN95" s="163"/>
      <c r="AO95" s="163"/>
      <c r="AP95" s="163"/>
      <c r="AQ95" s="163"/>
      <c r="AR95" s="163"/>
      <c r="AS95" s="163"/>
      <c r="AT95" s="163"/>
      <c r="AU95" s="163"/>
      <c r="AV95" s="163"/>
      <c r="AW95" s="163"/>
      <c r="AX95" s="163"/>
      <c r="AY95" s="163"/>
      <c r="AZ95" s="163"/>
      <c r="BA95" s="163"/>
    </row>
    <row r="96" spans="1:53" ht="11.1" customHeight="1" x14ac:dyDescent="0.25">
      <c r="A96" s="266">
        <v>32</v>
      </c>
      <c r="B96" s="390" t="s">
        <v>77</v>
      </c>
      <c r="C96" s="389"/>
      <c r="D96" s="302" t="s">
        <v>522</v>
      </c>
      <c r="E96" s="389"/>
      <c r="F96" s="388" t="s">
        <v>75</v>
      </c>
      <c r="G96" s="290">
        <v>1</v>
      </c>
      <c r="H96" s="291" t="s">
        <v>24</v>
      </c>
      <c r="I96" s="290">
        <v>2</v>
      </c>
      <c r="J96" s="292">
        <v>0</v>
      </c>
      <c r="K96" s="292">
        <v>0</v>
      </c>
      <c r="L96" s="163"/>
      <c r="M96" s="392" t="s">
        <v>195</v>
      </c>
      <c r="N96" s="391"/>
      <c r="O96" s="163"/>
      <c r="P96" s="242"/>
      <c r="Q96" s="242"/>
      <c r="R96" s="242"/>
      <c r="S96" s="243"/>
      <c r="T96" s="243"/>
      <c r="U96" s="243"/>
      <c r="V96" s="244"/>
      <c r="W96" s="244"/>
      <c r="X96" s="244"/>
      <c r="Y96" s="244"/>
      <c r="Z96" s="244"/>
      <c r="AA96" s="244"/>
      <c r="AB96" s="163"/>
      <c r="AC96" s="163"/>
      <c r="AD96" s="163"/>
      <c r="AE96" s="163"/>
      <c r="AF96" s="163"/>
      <c r="AG96" s="163"/>
      <c r="AH96" s="163"/>
      <c r="AI96" s="163"/>
      <c r="AJ96" s="163"/>
      <c r="AK96" s="163"/>
      <c r="AL96" s="163"/>
      <c r="AM96" s="163"/>
      <c r="AN96" s="163"/>
      <c r="AO96" s="163"/>
      <c r="AP96" s="163"/>
      <c r="AQ96" s="163"/>
      <c r="AR96" s="163"/>
      <c r="AS96" s="163"/>
      <c r="AT96" s="163"/>
      <c r="AU96" s="163"/>
      <c r="AV96" s="163"/>
      <c r="AW96" s="163"/>
      <c r="AX96" s="163"/>
      <c r="AY96" s="163"/>
      <c r="AZ96" s="163"/>
      <c r="BA96" s="163"/>
    </row>
    <row r="97" spans="1:53" ht="11.1" customHeight="1" x14ac:dyDescent="0.25">
      <c r="A97" s="266">
        <v>47</v>
      </c>
      <c r="B97" s="390" t="s">
        <v>77</v>
      </c>
      <c r="C97" s="389"/>
      <c r="D97" s="302" t="s">
        <v>522</v>
      </c>
      <c r="E97" s="389"/>
      <c r="F97" s="388" t="s">
        <v>74</v>
      </c>
      <c r="G97" s="290">
        <v>1</v>
      </c>
      <c r="H97" s="291" t="s">
        <v>24</v>
      </c>
      <c r="I97" s="290">
        <v>4</v>
      </c>
      <c r="J97" s="292">
        <v>0</v>
      </c>
      <c r="K97" s="292">
        <v>0</v>
      </c>
      <c r="L97" s="163"/>
      <c r="M97" s="163"/>
      <c r="N97" s="163"/>
      <c r="O97" s="163"/>
      <c r="P97" s="242"/>
      <c r="Q97" s="242"/>
      <c r="R97" s="242"/>
      <c r="S97" s="243"/>
      <c r="T97" s="243"/>
      <c r="U97" s="243"/>
      <c r="V97" s="244"/>
      <c r="W97" s="244"/>
      <c r="X97" s="244"/>
      <c r="Y97" s="244"/>
      <c r="Z97" s="244"/>
      <c r="AA97" s="244"/>
      <c r="AB97" s="163"/>
      <c r="AC97" s="163"/>
      <c r="AD97" s="163"/>
      <c r="AE97" s="163"/>
      <c r="AF97" s="163"/>
      <c r="AG97" s="163"/>
      <c r="AH97" s="163"/>
      <c r="AI97" s="163"/>
      <c r="AJ97" s="163"/>
      <c r="AK97" s="163"/>
      <c r="AL97" s="163"/>
      <c r="AM97" s="163"/>
      <c r="AN97" s="163"/>
      <c r="AO97" s="163"/>
      <c r="AP97" s="163"/>
      <c r="AQ97" s="163"/>
      <c r="AR97" s="163"/>
      <c r="AS97" s="163"/>
      <c r="AT97" s="163"/>
      <c r="AU97" s="163"/>
      <c r="AV97" s="163"/>
      <c r="AW97" s="163"/>
      <c r="AX97" s="163"/>
      <c r="AY97" s="163"/>
      <c r="AZ97" s="163"/>
      <c r="BA97" s="163"/>
    </row>
    <row r="98" spans="1:53" ht="11.1" customHeight="1" x14ac:dyDescent="0.25">
      <c r="A98" s="266">
        <v>48</v>
      </c>
      <c r="B98" s="387" t="s">
        <v>75</v>
      </c>
      <c r="C98" s="386"/>
      <c r="D98" s="305" t="s">
        <v>522</v>
      </c>
      <c r="E98" s="386"/>
      <c r="F98" s="385" t="s">
        <v>76</v>
      </c>
      <c r="G98" s="307">
        <v>2</v>
      </c>
      <c r="H98" s="308" t="s">
        <v>24</v>
      </c>
      <c r="I98" s="307">
        <v>2</v>
      </c>
      <c r="J98" s="539">
        <v>0</v>
      </c>
      <c r="K98" s="539">
        <v>0</v>
      </c>
      <c r="L98" s="163"/>
      <c r="M98" s="163"/>
      <c r="N98" s="163"/>
      <c r="O98" s="163"/>
      <c r="P98" s="242"/>
      <c r="Q98" s="242"/>
      <c r="R98" s="242"/>
      <c r="S98" s="243"/>
      <c r="T98" s="243"/>
      <c r="U98" s="243"/>
      <c r="V98" s="244"/>
      <c r="W98" s="244"/>
      <c r="X98" s="244"/>
      <c r="Y98" s="244"/>
      <c r="Z98" s="244"/>
      <c r="AA98" s="244"/>
      <c r="AB98" s="163"/>
      <c r="AC98" s="163"/>
      <c r="AD98" s="163"/>
      <c r="AE98" s="163"/>
      <c r="AF98" s="163"/>
      <c r="AG98" s="163"/>
      <c r="AH98" s="163"/>
      <c r="AI98" s="163"/>
      <c r="AJ98" s="163"/>
      <c r="AK98" s="163"/>
      <c r="AL98" s="163"/>
      <c r="AM98" s="163"/>
      <c r="AN98" s="163"/>
      <c r="AO98" s="163"/>
      <c r="AP98" s="163"/>
      <c r="AQ98" s="163"/>
      <c r="AR98" s="163"/>
      <c r="AS98" s="163"/>
      <c r="AT98" s="163"/>
      <c r="AU98" s="163"/>
      <c r="AV98" s="163"/>
      <c r="AW98" s="163"/>
      <c r="AX98" s="163"/>
      <c r="AY98" s="163"/>
      <c r="AZ98" s="163"/>
      <c r="BA98" s="163"/>
    </row>
    <row r="99" spans="1:53" ht="11.1" customHeight="1" x14ac:dyDescent="0.25">
      <c r="A99" s="163"/>
      <c r="B99" s="240"/>
      <c r="C99" s="240"/>
      <c r="D99" s="164"/>
      <c r="E99" s="164"/>
      <c r="F99" s="241"/>
      <c r="G99" s="310" t="s">
        <v>523</v>
      </c>
      <c r="H99" s="310"/>
      <c r="I99" s="310"/>
      <c r="J99" s="273">
        <f>SUM(J93:J98)</f>
        <v>0</v>
      </c>
      <c r="K99" s="273">
        <f>SUM(K93:K98)</f>
        <v>0</v>
      </c>
      <c r="L99" s="163"/>
      <c r="M99" s="163"/>
      <c r="N99" s="163"/>
      <c r="O99" s="163"/>
      <c r="P99" s="242"/>
      <c r="Q99" s="242"/>
      <c r="R99" s="242"/>
      <c r="S99" s="243"/>
      <c r="T99" s="243"/>
      <c r="U99" s="243"/>
      <c r="V99" s="244"/>
      <c r="W99" s="244"/>
      <c r="X99" s="244"/>
      <c r="Y99" s="244"/>
      <c r="Z99" s="244"/>
      <c r="AA99" s="244"/>
      <c r="AB99" s="163"/>
      <c r="AC99" s="163"/>
      <c r="AD99" s="163"/>
      <c r="AE99" s="163"/>
      <c r="AF99" s="163"/>
      <c r="AG99" s="163"/>
      <c r="AH99" s="163"/>
      <c r="AI99" s="163"/>
      <c r="AJ99" s="163"/>
      <c r="AK99" s="163"/>
      <c r="AL99" s="163"/>
      <c r="AM99" s="163"/>
      <c r="AN99" s="163"/>
      <c r="AO99" s="163"/>
      <c r="AP99" s="163"/>
      <c r="AQ99" s="163"/>
      <c r="AR99" s="163"/>
      <c r="AS99" s="163"/>
      <c r="AT99" s="163"/>
      <c r="AU99" s="163"/>
      <c r="AV99" s="163"/>
      <c r="AW99" s="163"/>
      <c r="AX99" s="163"/>
      <c r="AY99" s="163"/>
      <c r="AZ99" s="163"/>
      <c r="BA99" s="163"/>
    </row>
    <row r="100" spans="1:53" ht="11.1" customHeight="1" x14ac:dyDescent="0.25">
      <c r="A100" s="163"/>
      <c r="B100" s="240"/>
      <c r="C100" s="240"/>
      <c r="D100" s="164"/>
      <c r="E100" s="164"/>
      <c r="F100" s="241"/>
      <c r="G100" s="311" t="s">
        <v>524</v>
      </c>
      <c r="H100" s="311"/>
      <c r="I100" s="311"/>
      <c r="J100" s="312">
        <f>SUM(J99:K99)</f>
        <v>0</v>
      </c>
      <c r="K100" s="312"/>
      <c r="L100" s="163"/>
      <c r="M100" s="163"/>
      <c r="N100" s="163"/>
      <c r="O100" s="163"/>
      <c r="P100" s="242"/>
      <c r="Q100" s="242"/>
      <c r="R100" s="242"/>
      <c r="S100" s="243"/>
      <c r="T100" s="243"/>
      <c r="U100" s="243"/>
      <c r="V100" s="244"/>
      <c r="W100" s="244"/>
      <c r="X100" s="244"/>
      <c r="Y100" s="244"/>
      <c r="Z100" s="244"/>
      <c r="AA100" s="244"/>
      <c r="AB100" s="163"/>
      <c r="AC100" s="163"/>
      <c r="AD100" s="163"/>
      <c r="AE100" s="163"/>
      <c r="AF100" s="163"/>
      <c r="AG100" s="163"/>
      <c r="AH100" s="163"/>
      <c r="AI100" s="163"/>
      <c r="AJ100" s="163"/>
      <c r="AK100" s="163"/>
      <c r="AL100" s="163"/>
      <c r="AM100" s="163"/>
      <c r="AN100" s="163"/>
      <c r="AO100" s="163"/>
      <c r="AP100" s="163"/>
      <c r="AQ100" s="163"/>
      <c r="AR100" s="163"/>
      <c r="AS100" s="163"/>
      <c r="AT100" s="163"/>
      <c r="AU100" s="163"/>
      <c r="AV100" s="163"/>
      <c r="AW100" s="163"/>
      <c r="AX100" s="163"/>
      <c r="AY100" s="163"/>
      <c r="AZ100" s="163"/>
      <c r="BA100" s="163"/>
    </row>
    <row r="101" spans="1:53" ht="11.1" customHeight="1" x14ac:dyDescent="0.25">
      <c r="A101" s="163"/>
      <c r="B101" s="240"/>
      <c r="C101" s="240"/>
      <c r="D101" s="164"/>
      <c r="E101" s="164"/>
      <c r="F101" s="241"/>
      <c r="G101" s="241"/>
      <c r="H101" s="241"/>
      <c r="I101" s="241"/>
      <c r="J101" s="163"/>
      <c r="K101" s="164"/>
      <c r="L101" s="163"/>
      <c r="M101" s="163"/>
      <c r="N101" s="163"/>
      <c r="O101" s="163"/>
      <c r="P101" s="242"/>
      <c r="Q101" s="242"/>
      <c r="R101" s="242"/>
      <c r="S101" s="243"/>
      <c r="T101" s="243"/>
      <c r="U101" s="243"/>
      <c r="V101" s="244"/>
      <c r="W101" s="244"/>
      <c r="X101" s="244"/>
      <c r="Y101" s="244"/>
      <c r="Z101" s="244"/>
      <c r="AA101" s="244"/>
      <c r="AB101" s="163"/>
      <c r="AC101" s="163"/>
      <c r="AD101" s="163"/>
      <c r="AE101" s="163"/>
      <c r="AF101" s="163"/>
      <c r="AG101" s="163"/>
      <c r="AH101" s="163"/>
      <c r="AI101" s="163"/>
      <c r="AJ101" s="163"/>
      <c r="AK101" s="163"/>
      <c r="AL101" s="163"/>
      <c r="AM101" s="163"/>
      <c r="AN101" s="163"/>
      <c r="AO101" s="163"/>
      <c r="AP101" s="163"/>
      <c r="AQ101" s="163"/>
      <c r="AR101" s="163"/>
      <c r="AS101" s="163"/>
      <c r="AT101" s="163"/>
      <c r="AU101" s="163"/>
      <c r="AV101" s="163"/>
      <c r="AW101" s="163"/>
      <c r="AX101" s="163"/>
      <c r="AY101" s="163"/>
      <c r="AZ101" s="163"/>
      <c r="BA101" s="163"/>
    </row>
    <row r="102" spans="1:53" ht="11.1" customHeight="1" x14ac:dyDescent="0.25">
      <c r="A102" s="163"/>
      <c r="B102" s="240"/>
      <c r="C102" s="240"/>
      <c r="D102" s="164"/>
      <c r="E102" s="164"/>
      <c r="F102" s="241"/>
      <c r="G102" s="241"/>
      <c r="H102" s="241"/>
      <c r="I102" s="241"/>
      <c r="J102" s="163"/>
      <c r="K102" s="164"/>
      <c r="L102" s="163"/>
      <c r="M102" s="163"/>
      <c r="N102" s="163"/>
      <c r="O102" s="163"/>
      <c r="P102" s="242"/>
      <c r="Q102" s="242"/>
      <c r="R102" s="242"/>
      <c r="S102" s="243"/>
      <c r="T102" s="243"/>
      <c r="U102" s="243"/>
      <c r="V102" s="244"/>
      <c r="W102" s="244"/>
      <c r="X102" s="244"/>
      <c r="Y102" s="244"/>
      <c r="Z102" s="244"/>
      <c r="AA102" s="244"/>
      <c r="AB102" s="163"/>
      <c r="AC102" s="163"/>
      <c r="AD102" s="163"/>
      <c r="AE102" s="163"/>
      <c r="AF102" s="163"/>
      <c r="AG102" s="163"/>
      <c r="AH102" s="163"/>
      <c r="AI102" s="163"/>
      <c r="AJ102" s="163"/>
      <c r="AK102" s="163"/>
      <c r="AL102" s="163"/>
      <c r="AM102" s="163"/>
      <c r="AN102" s="163"/>
      <c r="AO102" s="163"/>
      <c r="AP102" s="163"/>
      <c r="AQ102" s="163"/>
      <c r="AR102" s="163"/>
      <c r="AS102" s="163"/>
      <c r="AT102" s="163"/>
      <c r="AU102" s="163"/>
      <c r="AV102" s="163"/>
      <c r="AW102" s="163"/>
      <c r="AX102" s="163"/>
      <c r="AY102" s="163"/>
      <c r="AZ102" s="163"/>
      <c r="BA102" s="163"/>
    </row>
    <row r="103" spans="1:53" ht="11.1" customHeight="1" x14ac:dyDescent="0.25">
      <c r="A103" s="163"/>
      <c r="B103" s="240"/>
      <c r="C103" s="240"/>
      <c r="D103" s="164"/>
      <c r="E103" s="164"/>
      <c r="F103" s="241"/>
      <c r="G103" s="241"/>
      <c r="H103" s="241"/>
      <c r="I103" s="241"/>
      <c r="J103" s="163"/>
      <c r="K103" s="164"/>
      <c r="L103" s="163"/>
      <c r="M103" s="163"/>
      <c r="N103" s="163"/>
      <c r="O103" s="163"/>
      <c r="P103" s="242"/>
      <c r="Q103" s="242"/>
      <c r="R103" s="242"/>
      <c r="S103" s="243"/>
      <c r="T103" s="243"/>
      <c r="U103" s="243"/>
      <c r="V103" s="244"/>
      <c r="W103" s="244"/>
      <c r="X103" s="244"/>
      <c r="Y103" s="244"/>
      <c r="Z103" s="244"/>
      <c r="AA103" s="244"/>
      <c r="AB103" s="163"/>
      <c r="AC103" s="163"/>
      <c r="AD103" s="163"/>
      <c r="AE103" s="163"/>
      <c r="AF103" s="163"/>
      <c r="AG103" s="163"/>
      <c r="AH103" s="163"/>
      <c r="AI103" s="163"/>
      <c r="AJ103" s="163"/>
      <c r="AK103" s="163"/>
      <c r="AL103" s="163"/>
      <c r="AM103" s="163"/>
      <c r="AN103" s="163"/>
      <c r="AO103" s="163"/>
      <c r="AP103" s="163"/>
      <c r="AQ103" s="163"/>
      <c r="AR103" s="163"/>
      <c r="AS103" s="163"/>
      <c r="AT103" s="163"/>
      <c r="AU103" s="163"/>
      <c r="AV103" s="163"/>
      <c r="AW103" s="163"/>
      <c r="AX103" s="163"/>
      <c r="AY103" s="163"/>
      <c r="AZ103" s="163"/>
      <c r="BA103" s="163"/>
    </row>
    <row r="104" spans="1:53" ht="11.1" customHeight="1" x14ac:dyDescent="0.25">
      <c r="A104" s="163"/>
      <c r="B104" s="240"/>
      <c r="C104" s="240"/>
      <c r="D104" s="164"/>
      <c r="E104" s="164"/>
      <c r="F104" s="241"/>
      <c r="G104" s="241"/>
      <c r="H104" s="241"/>
      <c r="I104" s="241"/>
      <c r="J104" s="163"/>
      <c r="K104" s="164"/>
      <c r="L104" s="163"/>
      <c r="M104" s="163"/>
      <c r="N104" s="163"/>
      <c r="O104" s="163"/>
      <c r="P104" s="242"/>
      <c r="Q104" s="242"/>
      <c r="R104" s="242"/>
      <c r="S104" s="243"/>
      <c r="T104" s="243"/>
      <c r="U104" s="243"/>
      <c r="V104" s="244"/>
      <c r="W104" s="244"/>
      <c r="X104" s="244"/>
      <c r="Y104" s="244"/>
      <c r="Z104" s="244"/>
      <c r="AA104" s="244"/>
      <c r="AB104" s="163"/>
      <c r="AC104" s="163"/>
      <c r="AD104" s="163"/>
      <c r="AE104" s="163"/>
      <c r="AF104" s="163"/>
      <c r="AG104" s="163"/>
      <c r="AH104" s="163"/>
      <c r="AI104" s="163"/>
      <c r="AJ104" s="163"/>
      <c r="AK104" s="163"/>
      <c r="AL104" s="163"/>
      <c r="AM104" s="163"/>
      <c r="AN104" s="163"/>
      <c r="AO104" s="163"/>
      <c r="AP104" s="163"/>
      <c r="AQ104" s="163"/>
      <c r="AR104" s="163"/>
      <c r="AS104" s="163"/>
      <c r="AT104" s="163"/>
      <c r="AU104" s="163"/>
      <c r="AV104" s="163"/>
      <c r="AW104" s="163"/>
      <c r="AX104" s="163"/>
      <c r="AY104" s="163"/>
      <c r="AZ104" s="163"/>
      <c r="BA104" s="163"/>
    </row>
    <row r="105" spans="1:53" ht="11.1" customHeight="1" x14ac:dyDescent="0.25">
      <c r="A105" s="163"/>
      <c r="B105" s="240"/>
      <c r="C105" s="240"/>
      <c r="D105" s="164"/>
      <c r="E105" s="164"/>
      <c r="F105" s="241"/>
      <c r="G105" s="241"/>
      <c r="H105" s="241"/>
      <c r="I105" s="241"/>
      <c r="J105" s="163"/>
      <c r="K105" s="164"/>
      <c r="L105" s="163"/>
      <c r="M105" s="163"/>
      <c r="N105" s="163"/>
      <c r="O105" s="163"/>
      <c r="P105" s="242"/>
      <c r="Q105" s="242"/>
      <c r="R105" s="242"/>
      <c r="S105" s="243"/>
      <c r="T105" s="243"/>
      <c r="U105" s="243"/>
      <c r="V105" s="244"/>
      <c r="W105" s="244"/>
      <c r="X105" s="244"/>
      <c r="Y105" s="244"/>
      <c r="Z105" s="244"/>
      <c r="AA105" s="244"/>
      <c r="AB105" s="163"/>
      <c r="AC105" s="163"/>
      <c r="AD105" s="163"/>
      <c r="AE105" s="163"/>
      <c r="AF105" s="163"/>
      <c r="AG105" s="163"/>
      <c r="AH105" s="163"/>
      <c r="AI105" s="163"/>
      <c r="AJ105" s="163"/>
      <c r="AK105" s="163"/>
      <c r="AL105" s="163"/>
      <c r="AM105" s="163"/>
      <c r="AN105" s="163"/>
      <c r="AO105" s="163"/>
      <c r="AP105" s="163"/>
      <c r="AQ105" s="163"/>
      <c r="AR105" s="163"/>
      <c r="AS105" s="163"/>
      <c r="AT105" s="163"/>
      <c r="AU105" s="163"/>
      <c r="AV105" s="163"/>
      <c r="AW105" s="163"/>
      <c r="AX105" s="163"/>
      <c r="AY105" s="163"/>
      <c r="AZ105" s="163"/>
      <c r="BA105" s="163"/>
    </row>
    <row r="106" spans="1:53" ht="11.1" customHeight="1" x14ac:dyDescent="0.25">
      <c r="A106" s="163"/>
      <c r="B106" s="240"/>
      <c r="C106" s="240"/>
      <c r="D106" s="164"/>
      <c r="E106" s="164"/>
      <c r="F106" s="241"/>
      <c r="G106" s="241"/>
      <c r="H106" s="241"/>
      <c r="I106" s="241"/>
      <c r="J106" s="163"/>
      <c r="K106" s="164"/>
      <c r="L106" s="163"/>
      <c r="M106" s="163"/>
      <c r="N106" s="163"/>
      <c r="O106" s="163"/>
      <c r="P106" s="242"/>
      <c r="Q106" s="242"/>
      <c r="R106" s="242"/>
      <c r="S106" s="243"/>
      <c r="T106" s="243"/>
      <c r="U106" s="243"/>
      <c r="V106" s="244"/>
      <c r="W106" s="244"/>
      <c r="X106" s="244"/>
      <c r="Y106" s="244"/>
      <c r="Z106" s="244"/>
      <c r="AA106" s="244"/>
      <c r="AB106" s="163"/>
      <c r="AC106" s="163"/>
      <c r="AD106" s="163"/>
      <c r="AE106" s="163"/>
      <c r="AF106" s="163"/>
      <c r="AG106" s="163"/>
      <c r="AH106" s="163"/>
      <c r="AI106" s="163"/>
      <c r="AJ106" s="163"/>
      <c r="AK106" s="163"/>
      <c r="AL106" s="163"/>
      <c r="AM106" s="163"/>
      <c r="AN106" s="163"/>
      <c r="AO106" s="163"/>
      <c r="AP106" s="163"/>
      <c r="AQ106" s="163"/>
      <c r="AR106" s="163"/>
      <c r="AS106" s="163"/>
      <c r="AT106" s="163"/>
      <c r="AU106" s="163"/>
      <c r="AV106" s="163"/>
      <c r="AW106" s="163"/>
      <c r="AX106" s="163"/>
      <c r="AY106" s="163"/>
      <c r="AZ106" s="163"/>
      <c r="BA106" s="163"/>
    </row>
    <row r="107" spans="1:53" ht="11.1" customHeight="1" x14ac:dyDescent="0.25">
      <c r="A107" s="163"/>
      <c r="B107" s="240"/>
      <c r="C107" s="240"/>
      <c r="D107" s="164"/>
      <c r="E107" s="164"/>
      <c r="F107" s="241"/>
      <c r="G107" s="241"/>
      <c r="H107" s="241"/>
      <c r="I107" s="241"/>
      <c r="J107" s="163"/>
      <c r="K107" s="164"/>
      <c r="L107" s="163"/>
      <c r="M107" s="163"/>
      <c r="N107" s="163"/>
      <c r="O107" s="163"/>
      <c r="P107" s="242"/>
      <c r="Q107" s="242"/>
      <c r="R107" s="242"/>
      <c r="S107" s="243"/>
      <c r="T107" s="243"/>
      <c r="U107" s="243"/>
      <c r="V107" s="244"/>
      <c r="W107" s="244"/>
      <c r="X107" s="244"/>
      <c r="Y107" s="244"/>
      <c r="Z107" s="244"/>
      <c r="AA107" s="244"/>
      <c r="AB107" s="163"/>
      <c r="AC107" s="163"/>
      <c r="AD107" s="163"/>
      <c r="AE107" s="163"/>
      <c r="AF107" s="163"/>
      <c r="AG107" s="163"/>
      <c r="AH107" s="163"/>
      <c r="AI107" s="163"/>
      <c r="AJ107" s="163"/>
      <c r="AK107" s="163"/>
      <c r="AL107" s="163"/>
      <c r="AM107" s="163"/>
      <c r="AN107" s="163"/>
      <c r="AO107" s="163"/>
      <c r="AP107" s="163"/>
      <c r="AQ107" s="163"/>
      <c r="AR107" s="163"/>
      <c r="AS107" s="163"/>
      <c r="AT107" s="163"/>
      <c r="AU107" s="163"/>
      <c r="AV107" s="163"/>
      <c r="AW107" s="163"/>
      <c r="AX107" s="163"/>
      <c r="AY107" s="163"/>
      <c r="AZ107" s="163"/>
      <c r="BA107" s="163"/>
    </row>
    <row r="108" spans="1:53" ht="11.1" customHeight="1" x14ac:dyDescent="0.25">
      <c r="A108" s="163"/>
      <c r="B108" s="240"/>
      <c r="C108" s="240"/>
      <c r="D108" s="164"/>
      <c r="E108" s="164"/>
      <c r="F108" s="241"/>
      <c r="G108" s="241"/>
      <c r="H108" s="241"/>
      <c r="I108" s="241"/>
      <c r="J108" s="163"/>
      <c r="K108" s="164"/>
      <c r="L108" s="163"/>
      <c r="M108" s="163"/>
      <c r="N108" s="163"/>
      <c r="O108" s="163"/>
      <c r="P108" s="242"/>
      <c r="Q108" s="242"/>
      <c r="R108" s="242"/>
      <c r="S108" s="243"/>
      <c r="T108" s="243"/>
      <c r="U108" s="243"/>
      <c r="V108" s="244"/>
      <c r="W108" s="244"/>
      <c r="X108" s="244"/>
      <c r="Y108" s="244"/>
      <c r="Z108" s="244"/>
      <c r="AA108" s="244"/>
      <c r="AB108" s="163"/>
      <c r="AC108" s="163"/>
      <c r="AD108" s="163"/>
      <c r="AE108" s="163"/>
      <c r="AF108" s="163"/>
      <c r="AG108" s="163"/>
      <c r="AH108" s="163"/>
      <c r="AI108" s="163"/>
      <c r="AJ108" s="163"/>
      <c r="AK108" s="163"/>
      <c r="AL108" s="163"/>
      <c r="AM108" s="163"/>
      <c r="AN108" s="163"/>
      <c r="AO108" s="163"/>
      <c r="AP108" s="163"/>
      <c r="AQ108" s="163"/>
      <c r="AR108" s="163"/>
      <c r="AS108" s="163"/>
      <c r="AT108" s="163"/>
      <c r="AU108" s="163"/>
      <c r="AV108" s="163"/>
      <c r="AW108" s="163"/>
      <c r="AX108" s="163"/>
      <c r="AY108" s="163"/>
      <c r="AZ108" s="163"/>
      <c r="BA108" s="163"/>
    </row>
    <row r="109" spans="1:53" ht="11.1" customHeight="1" x14ac:dyDescent="0.25">
      <c r="A109" s="163"/>
      <c r="B109" s="240"/>
      <c r="C109" s="240"/>
      <c r="D109" s="164"/>
      <c r="E109" s="164"/>
      <c r="F109" s="241"/>
      <c r="G109" s="241"/>
      <c r="H109" s="241"/>
      <c r="I109" s="241"/>
      <c r="J109" s="163"/>
      <c r="K109" s="164"/>
      <c r="L109" s="163"/>
      <c r="M109" s="163"/>
      <c r="N109" s="163"/>
      <c r="O109" s="163"/>
      <c r="P109" s="242"/>
      <c r="Q109" s="242"/>
      <c r="R109" s="242"/>
      <c r="S109" s="243"/>
      <c r="T109" s="243"/>
      <c r="U109" s="243"/>
      <c r="V109" s="244"/>
      <c r="W109" s="244"/>
      <c r="X109" s="244"/>
      <c r="Y109" s="244"/>
      <c r="Z109" s="244"/>
      <c r="AA109" s="244"/>
      <c r="AB109" s="163"/>
      <c r="AC109" s="163"/>
      <c r="AD109" s="163"/>
      <c r="AE109" s="163"/>
      <c r="AF109" s="163"/>
      <c r="AG109" s="163"/>
      <c r="AH109" s="163"/>
      <c r="AI109" s="163"/>
      <c r="AJ109" s="163"/>
      <c r="AK109" s="163"/>
      <c r="AL109" s="163"/>
      <c r="AM109" s="163"/>
      <c r="AN109" s="163"/>
      <c r="AO109" s="163"/>
      <c r="AP109" s="163"/>
      <c r="AQ109" s="163"/>
      <c r="AR109" s="163"/>
      <c r="AS109" s="163"/>
      <c r="AT109" s="163"/>
      <c r="AU109" s="163"/>
      <c r="AV109" s="163"/>
      <c r="AW109" s="163"/>
      <c r="AX109" s="163"/>
      <c r="AY109" s="163"/>
      <c r="AZ109" s="163"/>
      <c r="BA109" s="163"/>
    </row>
    <row r="110" spans="1:53" ht="11.1" customHeight="1" x14ac:dyDescent="0.25">
      <c r="A110" s="163"/>
      <c r="B110" s="240"/>
      <c r="C110" s="240"/>
      <c r="D110" s="164"/>
      <c r="E110" s="164"/>
      <c r="F110" s="241"/>
      <c r="G110" s="241"/>
      <c r="H110" s="241"/>
      <c r="I110" s="241"/>
      <c r="J110" s="163"/>
      <c r="K110" s="164"/>
      <c r="L110" s="163"/>
      <c r="M110" s="163"/>
      <c r="N110" s="163"/>
      <c r="O110" s="163"/>
      <c r="P110" s="242"/>
      <c r="Q110" s="242"/>
      <c r="R110" s="242"/>
      <c r="S110" s="243"/>
      <c r="T110" s="243"/>
      <c r="U110" s="243"/>
      <c r="V110" s="244"/>
      <c r="W110" s="244"/>
      <c r="X110" s="244"/>
      <c r="Y110" s="244"/>
      <c r="Z110" s="244"/>
      <c r="AA110" s="244"/>
      <c r="AB110" s="163"/>
      <c r="AC110" s="163"/>
      <c r="AD110" s="163"/>
      <c r="AE110" s="163"/>
      <c r="AF110" s="163"/>
      <c r="AG110" s="163"/>
      <c r="AH110" s="163"/>
      <c r="AI110" s="163"/>
      <c r="AJ110" s="163"/>
      <c r="AK110" s="163"/>
      <c r="AL110" s="163"/>
      <c r="AM110" s="163"/>
      <c r="AN110" s="163"/>
      <c r="AO110" s="163"/>
      <c r="AP110" s="163"/>
      <c r="AQ110" s="163"/>
      <c r="AR110" s="163"/>
      <c r="AS110" s="163"/>
      <c r="AT110" s="163"/>
      <c r="AU110" s="163"/>
      <c r="AV110" s="163"/>
      <c r="AW110" s="163"/>
      <c r="AX110" s="163"/>
      <c r="AY110" s="163"/>
      <c r="AZ110" s="163"/>
      <c r="BA110" s="163"/>
    </row>
    <row r="111" spans="1:53" ht="11.1" customHeight="1" x14ac:dyDescent="0.25">
      <c r="A111" s="163"/>
      <c r="B111" s="240"/>
      <c r="C111" s="240"/>
      <c r="D111" s="164"/>
      <c r="E111" s="164"/>
      <c r="F111" s="241"/>
      <c r="G111" s="241"/>
      <c r="H111" s="241"/>
      <c r="I111" s="241"/>
      <c r="J111" s="163"/>
      <c r="K111" s="164"/>
      <c r="L111" s="163"/>
      <c r="M111" s="163"/>
      <c r="N111" s="163"/>
      <c r="O111" s="163"/>
      <c r="P111" s="242"/>
      <c r="Q111" s="242"/>
      <c r="R111" s="242"/>
      <c r="S111" s="243"/>
      <c r="T111" s="243"/>
      <c r="U111" s="243"/>
      <c r="V111" s="244"/>
      <c r="W111" s="244"/>
      <c r="X111" s="244"/>
      <c r="Y111" s="244"/>
      <c r="Z111" s="244"/>
      <c r="AA111" s="244"/>
      <c r="AB111" s="163"/>
      <c r="AC111" s="163"/>
      <c r="AD111" s="163"/>
      <c r="AE111" s="163"/>
      <c r="AF111" s="163"/>
      <c r="AG111" s="163"/>
      <c r="AH111" s="163"/>
      <c r="AI111" s="163"/>
      <c r="AJ111" s="163"/>
      <c r="AK111" s="163"/>
      <c r="AL111" s="163"/>
      <c r="AM111" s="163"/>
      <c r="AN111" s="163"/>
      <c r="AO111" s="163"/>
      <c r="AP111" s="163"/>
      <c r="AQ111" s="163"/>
      <c r="AR111" s="163"/>
      <c r="AS111" s="163"/>
      <c r="AT111" s="163"/>
      <c r="AU111" s="163"/>
      <c r="AV111" s="163"/>
      <c r="AW111" s="163"/>
      <c r="AX111" s="163"/>
      <c r="AY111" s="163"/>
      <c r="AZ111" s="163"/>
      <c r="BA111" s="163"/>
    </row>
    <row r="112" spans="1:53" ht="11.1" customHeight="1" x14ac:dyDescent="0.25">
      <c r="A112" s="163"/>
      <c r="B112" s="240"/>
      <c r="C112" s="240"/>
      <c r="D112" s="164"/>
      <c r="E112" s="164"/>
      <c r="F112" s="241"/>
      <c r="G112" s="241"/>
      <c r="H112" s="241"/>
      <c r="I112" s="241"/>
      <c r="J112" s="163"/>
      <c r="K112" s="164"/>
      <c r="L112" s="163"/>
      <c r="M112" s="163"/>
      <c r="N112" s="163"/>
      <c r="O112" s="163"/>
      <c r="P112" s="242"/>
      <c r="Q112" s="242"/>
      <c r="R112" s="242"/>
      <c r="S112" s="243"/>
      <c r="T112" s="243"/>
      <c r="U112" s="243"/>
      <c r="V112" s="244"/>
      <c r="W112" s="244"/>
      <c r="X112" s="244"/>
      <c r="Y112" s="244"/>
      <c r="Z112" s="244"/>
      <c r="AA112" s="244"/>
      <c r="AB112" s="163"/>
      <c r="AC112" s="163"/>
      <c r="AD112" s="163"/>
      <c r="AE112" s="163"/>
      <c r="AF112" s="163"/>
      <c r="AG112" s="163"/>
      <c r="AH112" s="163"/>
      <c r="AI112" s="163"/>
      <c r="AJ112" s="163"/>
      <c r="AK112" s="163"/>
      <c r="AL112" s="163"/>
      <c r="AM112" s="163"/>
      <c r="AN112" s="163"/>
      <c r="AO112" s="163"/>
      <c r="AP112" s="163"/>
      <c r="AQ112" s="163"/>
      <c r="AR112" s="163"/>
      <c r="AS112" s="163"/>
      <c r="AT112" s="163"/>
      <c r="AU112" s="163"/>
      <c r="AV112" s="163"/>
      <c r="AW112" s="163"/>
      <c r="AX112" s="163"/>
      <c r="AY112" s="163"/>
      <c r="AZ112" s="163"/>
      <c r="BA112" s="163"/>
    </row>
    <row r="113" spans="1:53" ht="11.1" customHeight="1" x14ac:dyDescent="0.25">
      <c r="A113" s="163"/>
      <c r="B113" s="240"/>
      <c r="C113" s="240"/>
      <c r="D113" s="164"/>
      <c r="E113" s="164"/>
      <c r="F113" s="241"/>
      <c r="G113" s="241"/>
      <c r="H113" s="241"/>
      <c r="I113" s="241"/>
      <c r="J113" s="163"/>
      <c r="K113" s="164"/>
      <c r="L113" s="163"/>
      <c r="M113" s="163"/>
      <c r="N113" s="163"/>
      <c r="O113" s="163"/>
      <c r="P113" s="242"/>
      <c r="Q113" s="242"/>
      <c r="R113" s="242"/>
      <c r="S113" s="243"/>
      <c r="T113" s="243"/>
      <c r="U113" s="243"/>
      <c r="V113" s="244"/>
      <c r="W113" s="244"/>
      <c r="X113" s="244"/>
      <c r="Y113" s="244"/>
      <c r="Z113" s="244"/>
      <c r="AA113" s="244"/>
      <c r="AB113" s="163"/>
      <c r="AC113" s="163"/>
      <c r="AD113" s="163"/>
      <c r="AE113" s="163"/>
      <c r="AF113" s="163"/>
      <c r="AG113" s="163"/>
      <c r="AH113" s="163"/>
      <c r="AI113" s="163"/>
      <c r="AJ113" s="163"/>
      <c r="AK113" s="163"/>
      <c r="AL113" s="163"/>
      <c r="AM113" s="163"/>
      <c r="AN113" s="163"/>
      <c r="AO113" s="163"/>
      <c r="AP113" s="163"/>
      <c r="AQ113" s="163"/>
      <c r="AR113" s="163"/>
      <c r="AS113" s="163"/>
      <c r="AT113" s="163"/>
      <c r="AU113" s="163"/>
      <c r="AV113" s="163"/>
      <c r="AW113" s="163"/>
      <c r="AX113" s="163"/>
      <c r="AY113" s="163"/>
      <c r="AZ113" s="163"/>
      <c r="BA113" s="163"/>
    </row>
    <row r="114" spans="1:53" ht="11.1" customHeight="1" x14ac:dyDescent="0.25">
      <c r="A114" s="163"/>
      <c r="B114" s="240"/>
      <c r="C114" s="240"/>
      <c r="D114" s="164"/>
      <c r="E114" s="164"/>
      <c r="F114" s="241"/>
      <c r="G114" s="241"/>
      <c r="H114" s="241"/>
      <c r="I114" s="241"/>
      <c r="J114" s="163"/>
      <c r="K114" s="164"/>
      <c r="L114" s="163"/>
      <c r="M114" s="163"/>
      <c r="N114" s="163"/>
      <c r="O114" s="163"/>
      <c r="P114" s="242"/>
      <c r="Q114" s="242"/>
      <c r="R114" s="242"/>
      <c r="S114" s="243"/>
      <c r="T114" s="243"/>
      <c r="U114" s="243"/>
      <c r="V114" s="244"/>
      <c r="W114" s="244"/>
      <c r="X114" s="244"/>
      <c r="Y114" s="244"/>
      <c r="Z114" s="244"/>
      <c r="AA114" s="244"/>
      <c r="AB114" s="163"/>
      <c r="AC114" s="163"/>
      <c r="AD114" s="163"/>
      <c r="AE114" s="163"/>
      <c r="AF114" s="163"/>
      <c r="AG114" s="163"/>
      <c r="AH114" s="163"/>
      <c r="AI114" s="163"/>
      <c r="AJ114" s="163"/>
      <c r="AK114" s="163"/>
      <c r="AL114" s="163"/>
      <c r="AM114" s="163"/>
      <c r="AN114" s="163"/>
      <c r="AO114" s="163"/>
      <c r="AP114" s="163"/>
      <c r="AQ114" s="163"/>
      <c r="AR114" s="163"/>
      <c r="AS114" s="163"/>
      <c r="AT114" s="163"/>
      <c r="AU114" s="163"/>
      <c r="AV114" s="163"/>
      <c r="AW114" s="163"/>
      <c r="AX114" s="163"/>
      <c r="AY114" s="163"/>
      <c r="AZ114" s="163"/>
      <c r="BA114" s="163"/>
    </row>
    <row r="115" spans="1:53" ht="11.1" customHeight="1" x14ac:dyDescent="0.25">
      <c r="A115" s="163"/>
      <c r="B115" s="240"/>
      <c r="C115" s="240"/>
      <c r="D115" s="164"/>
      <c r="E115" s="164"/>
      <c r="F115" s="241"/>
      <c r="G115" s="241"/>
      <c r="H115" s="241"/>
      <c r="I115" s="241"/>
      <c r="J115" s="163"/>
      <c r="K115" s="164"/>
      <c r="L115" s="163"/>
      <c r="M115" s="163"/>
      <c r="N115" s="163"/>
      <c r="O115" s="163"/>
      <c r="P115" s="242"/>
      <c r="Q115" s="242"/>
      <c r="R115" s="242"/>
      <c r="S115" s="243"/>
      <c r="T115" s="243"/>
      <c r="U115" s="243"/>
      <c r="V115" s="244"/>
      <c r="W115" s="244"/>
      <c r="X115" s="244"/>
      <c r="Y115" s="244"/>
      <c r="Z115" s="244"/>
      <c r="AA115" s="244"/>
      <c r="AB115" s="163"/>
      <c r="AC115" s="163"/>
      <c r="AD115" s="163"/>
      <c r="AE115" s="163"/>
      <c r="AF115" s="163"/>
      <c r="AG115" s="163"/>
      <c r="AH115" s="163"/>
      <c r="AI115" s="163"/>
      <c r="AJ115" s="163"/>
      <c r="AK115" s="163"/>
      <c r="AL115" s="163"/>
      <c r="AM115" s="163"/>
      <c r="AN115" s="163"/>
      <c r="AO115" s="163"/>
      <c r="AP115" s="163"/>
      <c r="AQ115" s="163"/>
      <c r="AR115" s="163"/>
      <c r="AS115" s="163"/>
      <c r="AT115" s="163"/>
      <c r="AU115" s="163"/>
      <c r="AV115" s="163"/>
      <c r="AW115" s="163"/>
      <c r="AX115" s="163"/>
      <c r="AY115" s="163"/>
      <c r="AZ115" s="163"/>
      <c r="BA115" s="163"/>
    </row>
    <row r="116" spans="1:53" ht="11.1" customHeight="1" x14ac:dyDescent="0.25">
      <c r="A116" s="163"/>
      <c r="B116" s="240"/>
      <c r="C116" s="240"/>
      <c r="D116" s="164"/>
      <c r="E116" s="164"/>
      <c r="F116" s="241"/>
      <c r="G116" s="241"/>
      <c r="H116" s="241"/>
      <c r="I116" s="241"/>
      <c r="J116" s="163"/>
      <c r="K116" s="164"/>
      <c r="L116" s="163"/>
      <c r="M116" s="163"/>
      <c r="N116" s="163"/>
      <c r="O116" s="163"/>
      <c r="P116" s="242"/>
      <c r="Q116" s="242"/>
      <c r="R116" s="242"/>
      <c r="S116" s="243"/>
      <c r="T116" s="243"/>
      <c r="U116" s="243"/>
      <c r="V116" s="244"/>
      <c r="W116" s="244"/>
      <c r="X116" s="244"/>
      <c r="Y116" s="244"/>
      <c r="Z116" s="244"/>
      <c r="AA116" s="244"/>
      <c r="AB116" s="163"/>
      <c r="AC116" s="163"/>
      <c r="AD116" s="163"/>
      <c r="AE116" s="163"/>
      <c r="AF116" s="163"/>
      <c r="AG116" s="163"/>
      <c r="AH116" s="163"/>
      <c r="AI116" s="163"/>
      <c r="AJ116" s="163"/>
      <c r="AK116" s="163"/>
      <c r="AL116" s="163"/>
      <c r="AM116" s="163"/>
      <c r="AN116" s="163"/>
      <c r="AO116" s="163"/>
      <c r="AP116" s="163"/>
      <c r="AQ116" s="163"/>
      <c r="AR116" s="163"/>
      <c r="AS116" s="163"/>
      <c r="AT116" s="163"/>
      <c r="AU116" s="163"/>
      <c r="AV116" s="163"/>
      <c r="AW116" s="163"/>
      <c r="AX116" s="163"/>
      <c r="AY116" s="163"/>
      <c r="AZ116" s="163"/>
      <c r="BA116" s="163"/>
    </row>
    <row r="117" spans="1:53" ht="11.1" customHeight="1" x14ac:dyDescent="0.25">
      <c r="A117" s="163"/>
      <c r="B117" s="240"/>
      <c r="C117" s="240"/>
      <c r="D117" s="164"/>
      <c r="E117" s="164"/>
      <c r="F117" s="241"/>
      <c r="G117" s="241"/>
      <c r="H117" s="241"/>
      <c r="I117" s="241"/>
      <c r="J117" s="163"/>
      <c r="K117" s="164"/>
      <c r="L117" s="163"/>
      <c r="M117" s="163"/>
      <c r="N117" s="163"/>
      <c r="O117" s="163"/>
      <c r="P117" s="242"/>
      <c r="Q117" s="242"/>
      <c r="R117" s="242"/>
      <c r="S117" s="243"/>
      <c r="T117" s="243"/>
      <c r="U117" s="243"/>
      <c r="V117" s="244"/>
      <c r="W117" s="244"/>
      <c r="X117" s="244"/>
      <c r="Y117" s="244"/>
      <c r="Z117" s="244"/>
      <c r="AA117" s="244"/>
      <c r="AB117" s="163"/>
      <c r="AC117" s="163"/>
      <c r="AD117" s="163"/>
      <c r="AE117" s="163"/>
      <c r="AF117" s="163"/>
      <c r="AG117" s="163"/>
      <c r="AH117" s="163"/>
      <c r="AI117" s="163"/>
      <c r="AJ117" s="163"/>
      <c r="AK117" s="163"/>
      <c r="AL117" s="163"/>
      <c r="AM117" s="163"/>
      <c r="AN117" s="163"/>
      <c r="AO117" s="163"/>
      <c r="AP117" s="163"/>
      <c r="AQ117" s="163"/>
      <c r="AR117" s="163"/>
      <c r="AS117" s="163"/>
      <c r="AT117" s="163"/>
      <c r="AU117" s="163"/>
      <c r="AV117" s="163"/>
      <c r="AW117" s="163"/>
      <c r="AX117" s="163"/>
      <c r="AY117" s="163"/>
      <c r="AZ117" s="163"/>
      <c r="BA117" s="163"/>
    </row>
    <row r="118" spans="1:53" ht="11.1" customHeight="1" x14ac:dyDescent="0.25">
      <c r="A118" s="163"/>
      <c r="B118" s="240"/>
      <c r="C118" s="240"/>
      <c r="D118" s="164"/>
      <c r="E118" s="164"/>
      <c r="F118" s="241"/>
      <c r="G118" s="241"/>
      <c r="H118" s="241"/>
      <c r="I118" s="241"/>
      <c r="J118" s="163"/>
      <c r="K118" s="164"/>
      <c r="L118" s="163"/>
      <c r="M118" s="163"/>
      <c r="N118" s="163"/>
      <c r="O118" s="163"/>
      <c r="P118" s="242"/>
      <c r="Q118" s="242"/>
      <c r="R118" s="242"/>
      <c r="S118" s="243"/>
      <c r="T118" s="243"/>
      <c r="U118" s="243"/>
      <c r="V118" s="244"/>
      <c r="W118" s="244"/>
      <c r="X118" s="244"/>
      <c r="Y118" s="244"/>
      <c r="Z118" s="244"/>
      <c r="AA118" s="244"/>
      <c r="AB118" s="163"/>
      <c r="AC118" s="163"/>
      <c r="AD118" s="163"/>
      <c r="AE118" s="163"/>
      <c r="AF118" s="163"/>
      <c r="AG118" s="163"/>
      <c r="AH118" s="163"/>
      <c r="AI118" s="163"/>
      <c r="AJ118" s="163"/>
      <c r="AK118" s="163"/>
      <c r="AL118" s="163"/>
      <c r="AM118" s="163"/>
      <c r="AN118" s="163"/>
      <c r="AO118" s="163"/>
      <c r="AP118" s="163"/>
      <c r="AQ118" s="163"/>
      <c r="AR118" s="163"/>
      <c r="AS118" s="163"/>
      <c r="AT118" s="163"/>
      <c r="AU118" s="163"/>
      <c r="AV118" s="163"/>
      <c r="AW118" s="163"/>
      <c r="AX118" s="163"/>
      <c r="AY118" s="163"/>
      <c r="AZ118" s="163"/>
      <c r="BA118" s="163"/>
    </row>
    <row r="119" spans="1:53" ht="11.1" customHeight="1" x14ac:dyDescent="0.25">
      <c r="A119" s="163"/>
      <c r="B119" s="240"/>
      <c r="C119" s="240"/>
      <c r="D119" s="164"/>
      <c r="E119" s="164"/>
      <c r="F119" s="241"/>
      <c r="G119" s="241"/>
      <c r="H119" s="241"/>
      <c r="I119" s="241"/>
      <c r="J119" s="163"/>
      <c r="K119" s="164"/>
      <c r="L119" s="163"/>
      <c r="M119" s="163"/>
      <c r="N119" s="163"/>
      <c r="O119" s="163"/>
      <c r="P119" s="242"/>
      <c r="Q119" s="242"/>
      <c r="R119" s="242"/>
      <c r="S119" s="243"/>
      <c r="T119" s="243"/>
      <c r="U119" s="243"/>
      <c r="V119" s="244"/>
      <c r="W119" s="244"/>
      <c r="X119" s="244"/>
      <c r="Y119" s="244"/>
      <c r="Z119" s="244"/>
      <c r="AA119" s="244"/>
      <c r="AB119" s="163"/>
      <c r="AC119" s="163"/>
      <c r="AD119" s="163"/>
      <c r="AE119" s="163"/>
      <c r="AF119" s="163"/>
      <c r="AG119" s="163"/>
      <c r="AH119" s="163"/>
      <c r="AI119" s="163"/>
      <c r="AJ119" s="163"/>
      <c r="AK119" s="163"/>
      <c r="AL119" s="163"/>
      <c r="AM119" s="163"/>
      <c r="AN119" s="163"/>
      <c r="AO119" s="163"/>
      <c r="AP119" s="163"/>
      <c r="AQ119" s="163"/>
      <c r="AR119" s="163"/>
      <c r="AS119" s="163"/>
      <c r="AT119" s="163"/>
      <c r="AU119" s="163"/>
      <c r="AV119" s="163"/>
      <c r="AW119" s="163"/>
      <c r="AX119" s="163"/>
      <c r="AY119" s="163"/>
      <c r="AZ119" s="163"/>
      <c r="BA119" s="163"/>
    </row>
    <row r="120" spans="1:53" ht="11.1" customHeight="1" x14ac:dyDescent="0.25">
      <c r="A120" s="163"/>
      <c r="B120" s="240"/>
      <c r="C120" s="240"/>
      <c r="D120" s="164"/>
      <c r="E120" s="164"/>
      <c r="F120" s="241"/>
      <c r="G120" s="241"/>
      <c r="H120" s="241"/>
      <c r="I120" s="241"/>
      <c r="J120" s="163"/>
      <c r="K120" s="164"/>
      <c r="L120" s="163"/>
      <c r="M120" s="163"/>
      <c r="N120" s="163"/>
      <c r="O120" s="163"/>
      <c r="P120" s="242"/>
      <c r="Q120" s="242"/>
      <c r="R120" s="242"/>
      <c r="S120" s="243"/>
      <c r="T120" s="243"/>
      <c r="U120" s="243"/>
      <c r="V120" s="244"/>
      <c r="W120" s="244"/>
      <c r="X120" s="244"/>
      <c r="Y120" s="244"/>
      <c r="Z120" s="244"/>
      <c r="AA120" s="244"/>
      <c r="AB120" s="163"/>
      <c r="AC120" s="163"/>
      <c r="AD120" s="163"/>
      <c r="AE120" s="163"/>
      <c r="AF120" s="163"/>
      <c r="AG120" s="163"/>
      <c r="AH120" s="163"/>
      <c r="AI120" s="163"/>
      <c r="AJ120" s="163"/>
      <c r="AK120" s="163"/>
      <c r="AL120" s="163"/>
      <c r="AM120" s="163"/>
      <c r="AN120" s="163"/>
      <c r="AO120" s="163"/>
      <c r="AP120" s="163"/>
      <c r="AQ120" s="163"/>
      <c r="AR120" s="163"/>
      <c r="AS120" s="163"/>
      <c r="AT120" s="163"/>
      <c r="AU120" s="163"/>
      <c r="AV120" s="163"/>
      <c r="AW120" s="163"/>
      <c r="AX120" s="163"/>
      <c r="AY120" s="163"/>
      <c r="AZ120" s="163"/>
      <c r="BA120" s="163"/>
    </row>
    <row r="121" spans="1:53" x14ac:dyDescent="0.25">
      <c r="A121" s="163"/>
      <c r="B121" s="240"/>
      <c r="C121" s="240"/>
      <c r="D121" s="164"/>
      <c r="E121" s="164"/>
      <c r="F121" s="241"/>
      <c r="G121" s="241"/>
      <c r="H121" s="241"/>
      <c r="I121" s="241"/>
      <c r="J121" s="163"/>
      <c r="K121" s="164"/>
      <c r="L121" s="163"/>
      <c r="M121" s="163"/>
      <c r="N121" s="163"/>
      <c r="O121" s="163"/>
      <c r="P121" s="242"/>
      <c r="Q121" s="242"/>
      <c r="R121" s="242"/>
      <c r="S121" s="243"/>
      <c r="T121" s="243"/>
      <c r="U121" s="243"/>
      <c r="V121" s="244"/>
      <c r="W121" s="244"/>
      <c r="X121" s="244"/>
      <c r="Y121" s="244"/>
      <c r="Z121" s="244"/>
      <c r="AA121" s="244"/>
      <c r="AB121" s="163"/>
      <c r="AC121" s="163"/>
      <c r="AD121" s="163"/>
      <c r="AE121" s="163"/>
      <c r="AF121" s="163"/>
      <c r="AG121" s="163"/>
      <c r="AH121" s="163"/>
      <c r="AI121" s="163"/>
      <c r="AJ121" s="163"/>
      <c r="AK121" s="163"/>
      <c r="AL121" s="163"/>
      <c r="AM121" s="163"/>
      <c r="AN121" s="163"/>
      <c r="AO121" s="163"/>
      <c r="AP121" s="163"/>
      <c r="AQ121" s="163"/>
      <c r="AR121" s="163"/>
      <c r="AS121" s="163"/>
      <c r="AT121" s="163"/>
      <c r="AU121" s="163"/>
      <c r="AV121" s="163"/>
      <c r="AW121" s="163"/>
      <c r="AX121" s="163"/>
      <c r="AY121" s="163"/>
      <c r="AZ121" s="163"/>
      <c r="BA121" s="163"/>
    </row>
    <row r="122" spans="1:53" x14ac:dyDescent="0.25">
      <c r="A122" s="163"/>
      <c r="B122" s="240"/>
      <c r="C122" s="240"/>
      <c r="D122" s="164"/>
      <c r="E122" s="164"/>
      <c r="F122" s="241"/>
      <c r="G122" s="241"/>
      <c r="H122" s="241"/>
      <c r="I122" s="241"/>
      <c r="J122" s="163"/>
      <c r="K122" s="164"/>
      <c r="L122" s="163"/>
      <c r="M122" s="163"/>
      <c r="N122" s="163"/>
      <c r="O122" s="163"/>
      <c r="P122" s="242"/>
      <c r="Q122" s="242"/>
      <c r="R122" s="242"/>
      <c r="S122" s="243"/>
      <c r="T122" s="243"/>
      <c r="U122" s="243"/>
      <c r="V122" s="244"/>
      <c r="W122" s="244"/>
      <c r="X122" s="244"/>
      <c r="Y122" s="244"/>
      <c r="Z122" s="244"/>
      <c r="AA122" s="244"/>
      <c r="AB122" s="163"/>
      <c r="AC122" s="163"/>
      <c r="AD122" s="163"/>
      <c r="AE122" s="163"/>
      <c r="AF122" s="163"/>
      <c r="AG122" s="163"/>
      <c r="AH122" s="163"/>
      <c r="AI122" s="163"/>
      <c r="AJ122" s="163"/>
      <c r="AK122" s="163"/>
      <c r="AL122" s="163"/>
      <c r="AM122" s="163"/>
      <c r="AN122" s="163"/>
      <c r="AO122" s="163"/>
      <c r="AP122" s="163"/>
      <c r="AQ122" s="163"/>
      <c r="AR122" s="163"/>
      <c r="AS122" s="163"/>
      <c r="AT122" s="163"/>
      <c r="AU122" s="163"/>
      <c r="AV122" s="163"/>
      <c r="AW122" s="163"/>
      <c r="AX122" s="163"/>
      <c r="AY122" s="163"/>
      <c r="AZ122" s="163"/>
      <c r="BA122" s="163"/>
    </row>
    <row r="123" spans="1:53" x14ac:dyDescent="0.25">
      <c r="A123" s="163"/>
      <c r="B123" s="240"/>
      <c r="C123" s="240"/>
      <c r="D123" s="164"/>
      <c r="E123" s="164"/>
      <c r="F123" s="241"/>
      <c r="G123" s="241"/>
      <c r="H123" s="241"/>
      <c r="I123" s="241"/>
      <c r="J123" s="163"/>
      <c r="K123" s="164"/>
      <c r="L123" s="163"/>
      <c r="M123" s="163"/>
      <c r="N123" s="163"/>
      <c r="O123" s="163"/>
      <c r="P123" s="242"/>
      <c r="Q123" s="242"/>
      <c r="R123" s="242"/>
      <c r="S123" s="243"/>
      <c r="T123" s="243"/>
      <c r="U123" s="243"/>
      <c r="V123" s="244"/>
      <c r="W123" s="244"/>
      <c r="X123" s="244"/>
      <c r="Y123" s="244"/>
      <c r="Z123" s="244"/>
      <c r="AA123" s="244"/>
      <c r="AB123" s="163"/>
      <c r="AC123" s="163"/>
      <c r="AD123" s="163"/>
      <c r="AE123" s="163"/>
      <c r="AF123" s="163"/>
      <c r="AG123" s="163"/>
      <c r="AH123" s="163"/>
      <c r="AI123" s="163"/>
      <c r="AJ123" s="163"/>
      <c r="AK123" s="163"/>
      <c r="AL123" s="163"/>
      <c r="AM123" s="163"/>
      <c r="AN123" s="163"/>
      <c r="AO123" s="163"/>
      <c r="AP123" s="163"/>
      <c r="AQ123" s="163"/>
      <c r="AR123" s="163"/>
      <c r="AS123" s="163"/>
      <c r="AT123" s="163"/>
      <c r="AU123" s="163"/>
      <c r="AV123" s="163"/>
      <c r="AW123" s="163"/>
      <c r="AX123" s="163"/>
      <c r="AY123" s="163"/>
      <c r="AZ123" s="163"/>
      <c r="BA123" s="163"/>
    </row>
    <row r="124" spans="1:53" x14ac:dyDescent="0.25">
      <c r="A124" s="163"/>
      <c r="B124" s="240"/>
      <c r="C124" s="240"/>
      <c r="D124" s="164"/>
      <c r="E124" s="164"/>
      <c r="F124" s="241"/>
      <c r="G124" s="241"/>
      <c r="H124" s="241"/>
      <c r="I124" s="241"/>
      <c r="J124" s="163"/>
      <c r="K124" s="164"/>
      <c r="L124" s="163"/>
      <c r="M124" s="163"/>
      <c r="N124" s="163"/>
      <c r="O124" s="163"/>
      <c r="P124" s="242"/>
      <c r="Q124" s="242"/>
      <c r="R124" s="242"/>
      <c r="S124" s="243"/>
      <c r="T124" s="243"/>
      <c r="U124" s="243"/>
      <c r="V124" s="244"/>
      <c r="W124" s="244"/>
      <c r="X124" s="244"/>
      <c r="Y124" s="244"/>
      <c r="Z124" s="244"/>
      <c r="AA124" s="244"/>
      <c r="AB124" s="163"/>
      <c r="AC124" s="163"/>
      <c r="AD124" s="163"/>
      <c r="AE124" s="163"/>
      <c r="AF124" s="163"/>
      <c r="AG124" s="163"/>
      <c r="AH124" s="163"/>
      <c r="AI124" s="163"/>
      <c r="AJ124" s="163"/>
      <c r="AK124" s="163"/>
      <c r="AL124" s="163"/>
      <c r="AM124" s="163"/>
      <c r="AN124" s="163"/>
      <c r="AO124" s="163"/>
      <c r="AP124" s="163"/>
      <c r="AQ124" s="163"/>
      <c r="AR124" s="163"/>
      <c r="AS124" s="163"/>
      <c r="AT124" s="163"/>
      <c r="AU124" s="163"/>
      <c r="AV124" s="163"/>
      <c r="AW124" s="163"/>
      <c r="AX124" s="163"/>
      <c r="AY124" s="163"/>
      <c r="AZ124" s="163"/>
      <c r="BA124" s="163"/>
    </row>
    <row r="125" spans="1:53" x14ac:dyDescent="0.25">
      <c r="A125" s="163"/>
      <c r="B125" s="240"/>
      <c r="C125" s="240"/>
      <c r="D125" s="164"/>
      <c r="E125" s="164"/>
      <c r="F125" s="241"/>
      <c r="G125" s="241"/>
      <c r="H125" s="241"/>
      <c r="I125" s="241"/>
      <c r="J125" s="163"/>
      <c r="K125" s="164"/>
      <c r="L125" s="163"/>
      <c r="M125" s="163"/>
      <c r="N125" s="163"/>
      <c r="O125" s="163"/>
      <c r="P125" s="242"/>
      <c r="Q125" s="242"/>
      <c r="R125" s="242"/>
      <c r="S125" s="243"/>
      <c r="T125" s="243"/>
      <c r="U125" s="243"/>
      <c r="V125" s="244"/>
      <c r="W125" s="244"/>
      <c r="X125" s="244"/>
      <c r="Y125" s="244"/>
      <c r="Z125" s="244"/>
      <c r="AA125" s="244"/>
      <c r="AB125" s="163"/>
      <c r="AC125" s="163"/>
      <c r="AD125" s="163"/>
      <c r="AE125" s="163"/>
      <c r="AF125" s="163"/>
      <c r="AG125" s="163"/>
      <c r="AH125" s="163"/>
      <c r="AI125" s="163"/>
      <c r="AJ125" s="163"/>
      <c r="AK125" s="163"/>
      <c r="AL125" s="163"/>
      <c r="AM125" s="163"/>
      <c r="AN125" s="163"/>
      <c r="AO125" s="163"/>
      <c r="AP125" s="163"/>
      <c r="AQ125" s="163"/>
      <c r="AR125" s="163"/>
      <c r="AS125" s="163"/>
      <c r="AT125" s="163"/>
      <c r="AU125" s="163"/>
      <c r="AV125" s="163"/>
      <c r="AW125" s="163"/>
      <c r="AX125" s="163"/>
      <c r="AY125" s="163"/>
      <c r="AZ125" s="163"/>
      <c r="BA125" s="163"/>
    </row>
    <row r="126" spans="1:53" x14ac:dyDescent="0.25">
      <c r="A126" s="163"/>
      <c r="B126" s="240"/>
      <c r="C126" s="240"/>
      <c r="D126" s="164"/>
      <c r="E126" s="164"/>
      <c r="F126" s="241"/>
      <c r="G126" s="241"/>
      <c r="H126" s="241"/>
      <c r="I126" s="241"/>
      <c r="J126" s="163"/>
      <c r="K126" s="164"/>
      <c r="L126" s="163"/>
      <c r="M126" s="163"/>
      <c r="N126" s="163"/>
      <c r="O126" s="163"/>
      <c r="P126" s="242"/>
      <c r="Q126" s="242"/>
      <c r="R126" s="242"/>
      <c r="S126" s="243"/>
      <c r="T126" s="243"/>
      <c r="U126" s="243"/>
      <c r="V126" s="244"/>
      <c r="W126" s="244"/>
      <c r="X126" s="244"/>
      <c r="Y126" s="244"/>
      <c r="Z126" s="244"/>
      <c r="AA126" s="244"/>
      <c r="AB126" s="163"/>
      <c r="AC126" s="163"/>
      <c r="AD126" s="163"/>
      <c r="AE126" s="163"/>
      <c r="AF126" s="163"/>
      <c r="AG126" s="163"/>
      <c r="AH126" s="163"/>
      <c r="AI126" s="163"/>
      <c r="AJ126" s="163"/>
      <c r="AK126" s="163"/>
      <c r="AL126" s="163"/>
      <c r="AM126" s="163"/>
      <c r="AN126" s="163"/>
      <c r="AO126" s="163"/>
      <c r="AP126" s="163"/>
      <c r="AQ126" s="163"/>
      <c r="AR126" s="163"/>
      <c r="AS126" s="163"/>
      <c r="AT126" s="163"/>
      <c r="AU126" s="163"/>
      <c r="AV126" s="163"/>
      <c r="AW126" s="163"/>
      <c r="AX126" s="163"/>
      <c r="AY126" s="163"/>
      <c r="AZ126" s="163"/>
      <c r="BA126" s="163"/>
    </row>
    <row r="127" spans="1:53" x14ac:dyDescent="0.25">
      <c r="A127" s="163"/>
      <c r="B127" s="240"/>
      <c r="C127" s="240"/>
      <c r="D127" s="164"/>
      <c r="E127" s="164"/>
      <c r="F127" s="241"/>
      <c r="G127" s="241"/>
      <c r="H127" s="241"/>
      <c r="I127" s="241"/>
      <c r="J127" s="163"/>
      <c r="K127" s="164"/>
      <c r="L127" s="163"/>
      <c r="M127" s="163"/>
      <c r="N127" s="163"/>
      <c r="O127" s="163"/>
      <c r="P127" s="242"/>
      <c r="Q127" s="242"/>
      <c r="R127" s="242"/>
      <c r="S127" s="243"/>
      <c r="T127" s="243"/>
      <c r="U127" s="243"/>
      <c r="V127" s="244"/>
      <c r="W127" s="244"/>
      <c r="X127" s="244"/>
      <c r="Y127" s="244"/>
      <c r="Z127" s="244"/>
      <c r="AA127" s="244"/>
      <c r="AB127" s="163"/>
      <c r="AC127" s="163"/>
      <c r="AD127" s="163"/>
      <c r="AE127" s="163"/>
      <c r="AF127" s="163"/>
      <c r="AG127" s="163"/>
      <c r="AH127" s="163"/>
      <c r="AI127" s="163"/>
      <c r="AJ127" s="163"/>
      <c r="AK127" s="163"/>
      <c r="AL127" s="163"/>
      <c r="AM127" s="163"/>
      <c r="AN127" s="163"/>
      <c r="AO127" s="163"/>
      <c r="AP127" s="163"/>
      <c r="AQ127" s="163"/>
      <c r="AR127" s="163"/>
      <c r="AS127" s="163"/>
      <c r="AT127" s="163"/>
      <c r="AU127" s="163"/>
      <c r="AV127" s="163"/>
      <c r="AW127" s="163"/>
      <c r="AX127" s="163"/>
      <c r="AY127" s="163"/>
      <c r="AZ127" s="163"/>
      <c r="BA127" s="163"/>
    </row>
    <row r="128" spans="1:53" x14ac:dyDescent="0.25">
      <c r="A128" s="163"/>
      <c r="B128" s="240"/>
      <c r="C128" s="240"/>
      <c r="D128" s="164"/>
      <c r="E128" s="164"/>
      <c r="F128" s="241"/>
      <c r="G128" s="241"/>
      <c r="H128" s="241"/>
      <c r="I128" s="241"/>
      <c r="J128" s="163"/>
      <c r="K128" s="164"/>
      <c r="L128" s="163"/>
      <c r="M128" s="163"/>
      <c r="N128" s="163"/>
      <c r="O128" s="163"/>
      <c r="P128" s="242"/>
      <c r="Q128" s="242"/>
      <c r="R128" s="242"/>
      <c r="S128" s="243"/>
      <c r="T128" s="243"/>
      <c r="U128" s="243"/>
      <c r="V128" s="244"/>
      <c r="W128" s="244"/>
      <c r="X128" s="244"/>
      <c r="Y128" s="244"/>
      <c r="Z128" s="244"/>
      <c r="AA128" s="244"/>
      <c r="AB128" s="163"/>
      <c r="AC128" s="163"/>
      <c r="AD128" s="163"/>
      <c r="AE128" s="163"/>
      <c r="AF128" s="163"/>
      <c r="AG128" s="163"/>
      <c r="AH128" s="163"/>
      <c r="AI128" s="163"/>
      <c r="AJ128" s="163"/>
      <c r="AK128" s="163"/>
      <c r="AL128" s="163"/>
      <c r="AM128" s="163"/>
      <c r="AN128" s="163"/>
      <c r="AO128" s="163"/>
      <c r="AP128" s="163"/>
      <c r="AQ128" s="163"/>
      <c r="AR128" s="163"/>
      <c r="AS128" s="163"/>
      <c r="AT128" s="163"/>
      <c r="AU128" s="163"/>
      <c r="AV128" s="163"/>
      <c r="AW128" s="163"/>
      <c r="AX128" s="163"/>
      <c r="AY128" s="163"/>
      <c r="AZ128" s="163"/>
      <c r="BA128" s="163"/>
    </row>
    <row r="129" spans="1:53" x14ac:dyDescent="0.25">
      <c r="A129" s="163"/>
      <c r="B129" s="240"/>
      <c r="C129" s="240"/>
      <c r="D129" s="164"/>
      <c r="E129" s="164"/>
      <c r="F129" s="241"/>
      <c r="G129" s="241"/>
      <c r="H129" s="241"/>
      <c r="I129" s="241"/>
      <c r="J129" s="163"/>
      <c r="K129" s="164"/>
      <c r="L129" s="163"/>
      <c r="M129" s="163"/>
      <c r="N129" s="163"/>
      <c r="O129" s="163"/>
      <c r="P129" s="242"/>
      <c r="Q129" s="242"/>
      <c r="R129" s="242"/>
      <c r="S129" s="243"/>
      <c r="T129" s="243"/>
      <c r="U129" s="243"/>
      <c r="V129" s="244"/>
      <c r="W129" s="244"/>
      <c r="X129" s="244"/>
      <c r="Y129" s="244"/>
      <c r="Z129" s="244"/>
      <c r="AA129" s="244"/>
      <c r="AB129" s="163"/>
      <c r="AC129" s="163"/>
      <c r="AD129" s="163"/>
      <c r="AE129" s="163"/>
      <c r="AF129" s="163"/>
      <c r="AG129" s="163"/>
      <c r="AH129" s="163"/>
      <c r="AI129" s="163"/>
      <c r="AJ129" s="163"/>
      <c r="AK129" s="163"/>
      <c r="AL129" s="163"/>
      <c r="AM129" s="163"/>
      <c r="AN129" s="163"/>
      <c r="AO129" s="163"/>
      <c r="AP129" s="163"/>
      <c r="AQ129" s="163"/>
      <c r="AR129" s="163"/>
      <c r="AS129" s="163"/>
      <c r="AT129" s="163"/>
      <c r="AU129" s="163"/>
      <c r="AV129" s="163"/>
      <c r="AW129" s="163"/>
      <c r="AX129" s="163"/>
      <c r="AY129" s="163"/>
      <c r="AZ129" s="163"/>
      <c r="BA129" s="163"/>
    </row>
    <row r="130" spans="1:53" x14ac:dyDescent="0.25">
      <c r="A130" s="163"/>
      <c r="B130" s="240"/>
      <c r="C130" s="240"/>
      <c r="D130" s="164"/>
      <c r="E130" s="164"/>
      <c r="F130" s="241"/>
      <c r="G130" s="241"/>
      <c r="H130" s="241"/>
      <c r="I130" s="241"/>
      <c r="J130" s="163"/>
      <c r="K130" s="164"/>
      <c r="L130" s="163"/>
      <c r="M130" s="163"/>
      <c r="N130" s="163"/>
      <c r="O130" s="163"/>
      <c r="P130" s="242"/>
      <c r="Q130" s="242"/>
      <c r="R130" s="242"/>
      <c r="S130" s="243"/>
      <c r="T130" s="243"/>
      <c r="U130" s="243"/>
      <c r="V130" s="244"/>
      <c r="W130" s="244"/>
      <c r="X130" s="244"/>
      <c r="Y130" s="244"/>
      <c r="Z130" s="244"/>
      <c r="AA130" s="244"/>
      <c r="AB130" s="163"/>
      <c r="AC130" s="163"/>
      <c r="AD130" s="163"/>
      <c r="AE130" s="163"/>
      <c r="AF130" s="163"/>
      <c r="AG130" s="163"/>
      <c r="AH130" s="163"/>
      <c r="AI130" s="163"/>
      <c r="AJ130" s="163"/>
      <c r="AK130" s="163"/>
      <c r="AL130" s="163"/>
      <c r="AM130" s="163"/>
      <c r="AN130" s="163"/>
      <c r="AO130" s="163"/>
      <c r="AP130" s="163"/>
      <c r="AQ130" s="163"/>
      <c r="AR130" s="163"/>
      <c r="AS130" s="163"/>
      <c r="AT130" s="163"/>
      <c r="AU130" s="163"/>
      <c r="AV130" s="163"/>
      <c r="AW130" s="163"/>
      <c r="AX130" s="163"/>
      <c r="AY130" s="163"/>
      <c r="AZ130" s="163"/>
      <c r="BA130" s="163"/>
    </row>
    <row r="131" spans="1:53" x14ac:dyDescent="0.25">
      <c r="A131" s="163"/>
      <c r="B131" s="240"/>
      <c r="C131" s="240"/>
      <c r="D131" s="164"/>
      <c r="E131" s="164"/>
      <c r="F131" s="241"/>
      <c r="G131" s="241"/>
      <c r="H131" s="241"/>
      <c r="I131" s="241"/>
      <c r="J131" s="163"/>
      <c r="K131" s="164"/>
      <c r="L131" s="163"/>
      <c r="M131" s="163"/>
      <c r="N131" s="163"/>
      <c r="O131" s="163"/>
      <c r="P131" s="242"/>
      <c r="Q131" s="242"/>
      <c r="R131" s="242"/>
      <c r="S131" s="243"/>
      <c r="T131" s="243"/>
      <c r="U131" s="243"/>
      <c r="V131" s="244"/>
      <c r="W131" s="244"/>
      <c r="X131" s="244"/>
      <c r="Y131" s="244"/>
      <c r="Z131" s="244"/>
      <c r="AA131" s="244"/>
      <c r="AB131" s="163"/>
      <c r="AC131" s="163"/>
      <c r="AD131" s="163"/>
      <c r="AE131" s="163"/>
      <c r="AF131" s="163"/>
      <c r="AG131" s="163"/>
      <c r="AH131" s="163"/>
      <c r="AI131" s="163"/>
      <c r="AJ131" s="163"/>
      <c r="AK131" s="163"/>
      <c r="AL131" s="163"/>
      <c r="AM131" s="163"/>
      <c r="AN131" s="163"/>
      <c r="AO131" s="163"/>
      <c r="AP131" s="163"/>
      <c r="AQ131" s="163"/>
      <c r="AR131" s="163"/>
      <c r="AS131" s="163"/>
      <c r="AT131" s="163"/>
      <c r="AU131" s="163"/>
      <c r="AV131" s="163"/>
      <c r="AW131" s="163"/>
      <c r="AX131" s="163"/>
      <c r="AY131" s="163"/>
      <c r="AZ131" s="163"/>
      <c r="BA131" s="163"/>
    </row>
    <row r="132" spans="1:53" x14ac:dyDescent="0.25">
      <c r="A132" s="163"/>
      <c r="B132" s="240"/>
      <c r="C132" s="240"/>
      <c r="D132" s="164"/>
      <c r="E132" s="164"/>
      <c r="F132" s="241"/>
      <c r="G132" s="241"/>
      <c r="H132" s="241"/>
      <c r="I132" s="241"/>
      <c r="J132" s="163"/>
      <c r="K132" s="164"/>
      <c r="L132" s="163"/>
      <c r="M132" s="163"/>
      <c r="N132" s="163"/>
      <c r="O132" s="163"/>
      <c r="P132" s="242"/>
      <c r="Q132" s="242"/>
      <c r="R132" s="242"/>
      <c r="S132" s="243"/>
      <c r="T132" s="243"/>
      <c r="U132" s="243"/>
      <c r="V132" s="244"/>
      <c r="W132" s="244"/>
      <c r="X132" s="244"/>
      <c r="Y132" s="244"/>
      <c r="Z132" s="244"/>
      <c r="AA132" s="244"/>
      <c r="AB132" s="163"/>
      <c r="AC132" s="163"/>
      <c r="AD132" s="163"/>
      <c r="AE132" s="163"/>
      <c r="AF132" s="163"/>
      <c r="AG132" s="163"/>
      <c r="AH132" s="163"/>
      <c r="AI132" s="163"/>
      <c r="AJ132" s="163"/>
      <c r="AK132" s="163"/>
      <c r="AL132" s="163"/>
      <c r="AM132" s="163"/>
      <c r="AN132" s="163"/>
      <c r="AO132" s="163"/>
      <c r="AP132" s="163"/>
      <c r="AQ132" s="163"/>
      <c r="AR132" s="163"/>
      <c r="AS132" s="163"/>
      <c r="AT132" s="163"/>
      <c r="AU132" s="163"/>
      <c r="AV132" s="163"/>
      <c r="AW132" s="163"/>
      <c r="AX132" s="163"/>
      <c r="AY132" s="163"/>
      <c r="AZ132" s="163"/>
      <c r="BA132" s="163"/>
    </row>
    <row r="133" spans="1:53" x14ac:dyDescent="0.25">
      <c r="A133" s="163"/>
      <c r="B133" s="240"/>
      <c r="C133" s="240"/>
      <c r="D133" s="164"/>
      <c r="E133" s="164"/>
      <c r="F133" s="241"/>
      <c r="G133" s="241"/>
      <c r="H133" s="241"/>
      <c r="I133" s="241"/>
      <c r="J133" s="163"/>
      <c r="K133" s="164"/>
      <c r="L133" s="163"/>
      <c r="M133" s="163"/>
      <c r="N133" s="163"/>
      <c r="O133" s="163"/>
      <c r="P133" s="242"/>
      <c r="Q133" s="242"/>
      <c r="R133" s="242"/>
      <c r="S133" s="243"/>
      <c r="T133" s="243"/>
      <c r="U133" s="243"/>
      <c r="V133" s="244"/>
      <c r="W133" s="244"/>
      <c r="X133" s="244"/>
      <c r="Y133" s="244"/>
      <c r="Z133" s="244"/>
      <c r="AA133" s="244"/>
      <c r="AB133" s="163"/>
      <c r="AC133" s="163"/>
      <c r="AD133" s="163"/>
      <c r="AE133" s="163"/>
      <c r="AF133" s="163"/>
      <c r="AG133" s="163"/>
      <c r="AH133" s="163"/>
      <c r="AI133" s="163"/>
      <c r="AJ133" s="163"/>
      <c r="AK133" s="163"/>
      <c r="AL133" s="163"/>
      <c r="AM133" s="163"/>
      <c r="AN133" s="163"/>
      <c r="AO133" s="163"/>
      <c r="AP133" s="163"/>
      <c r="AQ133" s="163"/>
      <c r="AR133" s="163"/>
      <c r="AS133" s="163"/>
      <c r="AT133" s="163"/>
      <c r="AU133" s="163"/>
      <c r="AV133" s="163"/>
      <c r="AW133" s="163"/>
      <c r="AX133" s="163"/>
      <c r="AY133" s="163"/>
      <c r="AZ133" s="163"/>
      <c r="BA133" s="163"/>
    </row>
    <row r="134" spans="1:53" x14ac:dyDescent="0.25">
      <c r="A134" s="163"/>
      <c r="B134" s="240"/>
      <c r="C134" s="240"/>
      <c r="D134" s="164"/>
      <c r="E134" s="164"/>
      <c r="F134" s="241"/>
      <c r="G134" s="241"/>
      <c r="H134" s="241"/>
      <c r="I134" s="241"/>
      <c r="J134" s="163"/>
      <c r="K134" s="164"/>
      <c r="L134" s="163"/>
      <c r="M134" s="163"/>
      <c r="N134" s="163"/>
      <c r="O134" s="163"/>
      <c r="P134" s="242"/>
      <c r="Q134" s="242"/>
      <c r="R134" s="242"/>
      <c r="S134" s="243"/>
      <c r="T134" s="243"/>
      <c r="U134" s="243"/>
      <c r="V134" s="244"/>
      <c r="W134" s="244"/>
      <c r="X134" s="244"/>
      <c r="Y134" s="244"/>
      <c r="Z134" s="244"/>
      <c r="AA134" s="244"/>
      <c r="AB134" s="163"/>
      <c r="AC134" s="163"/>
      <c r="AD134" s="163"/>
      <c r="AE134" s="163"/>
      <c r="AF134" s="163"/>
      <c r="AG134" s="163"/>
      <c r="AH134" s="163"/>
      <c r="AI134" s="163"/>
      <c r="AJ134" s="163"/>
      <c r="AK134" s="163"/>
      <c r="AL134" s="163"/>
      <c r="AM134" s="163"/>
      <c r="AN134" s="163"/>
      <c r="AO134" s="163"/>
      <c r="AP134" s="163"/>
      <c r="AQ134" s="163"/>
      <c r="AR134" s="163"/>
      <c r="AS134" s="163"/>
      <c r="AT134" s="163"/>
      <c r="AU134" s="163"/>
      <c r="AV134" s="163"/>
      <c r="AW134" s="163"/>
      <c r="AX134" s="163"/>
      <c r="AY134" s="163"/>
      <c r="AZ134" s="163"/>
      <c r="BA134" s="163"/>
    </row>
    <row r="135" spans="1:53" x14ac:dyDescent="0.25">
      <c r="A135" s="163"/>
      <c r="B135" s="240"/>
      <c r="C135" s="240"/>
      <c r="D135" s="164"/>
      <c r="E135" s="164"/>
      <c r="F135" s="241"/>
      <c r="G135" s="241"/>
      <c r="H135" s="241"/>
      <c r="I135" s="241"/>
      <c r="J135" s="163"/>
      <c r="K135" s="164"/>
      <c r="L135" s="163"/>
      <c r="M135" s="163"/>
      <c r="N135" s="163"/>
      <c r="O135" s="163"/>
      <c r="P135" s="242"/>
      <c r="Q135" s="242"/>
      <c r="R135" s="242"/>
      <c r="S135" s="243"/>
      <c r="T135" s="243"/>
      <c r="U135" s="243"/>
      <c r="V135" s="244"/>
      <c r="W135" s="244"/>
      <c r="X135" s="244"/>
      <c r="Y135" s="244"/>
      <c r="Z135" s="244"/>
      <c r="AA135" s="244"/>
      <c r="AB135" s="163"/>
      <c r="AC135" s="163"/>
      <c r="AD135" s="163"/>
      <c r="AE135" s="163"/>
      <c r="AF135" s="163"/>
      <c r="AG135" s="163"/>
      <c r="AH135" s="163"/>
      <c r="AI135" s="163"/>
      <c r="AJ135" s="163"/>
      <c r="AK135" s="163"/>
      <c r="AL135" s="163"/>
      <c r="AM135" s="163"/>
      <c r="AN135" s="163"/>
      <c r="AO135" s="163"/>
      <c r="AP135" s="163"/>
      <c r="AQ135" s="163"/>
      <c r="AR135" s="163"/>
      <c r="AS135" s="163"/>
      <c r="AT135" s="163"/>
      <c r="AU135" s="163"/>
      <c r="AV135" s="163"/>
      <c r="AW135" s="163"/>
      <c r="AX135" s="163"/>
      <c r="AY135" s="163"/>
      <c r="AZ135" s="163"/>
      <c r="BA135" s="163"/>
    </row>
    <row r="136" spans="1:53" x14ac:dyDescent="0.25">
      <c r="A136" s="163"/>
      <c r="B136" s="240"/>
      <c r="C136" s="240"/>
      <c r="D136" s="164"/>
      <c r="E136" s="164"/>
      <c r="F136" s="241"/>
      <c r="G136" s="241"/>
      <c r="H136" s="241"/>
      <c r="I136" s="241"/>
      <c r="J136" s="163"/>
      <c r="K136" s="164"/>
      <c r="L136" s="163"/>
      <c r="M136" s="163"/>
      <c r="N136" s="163"/>
      <c r="O136" s="163"/>
      <c r="P136" s="242"/>
      <c r="Q136" s="242"/>
      <c r="R136" s="242"/>
      <c r="S136" s="243"/>
      <c r="T136" s="243"/>
      <c r="U136" s="243"/>
      <c r="V136" s="244"/>
      <c r="W136" s="244"/>
      <c r="X136" s="244"/>
      <c r="Y136" s="244"/>
      <c r="Z136" s="244"/>
      <c r="AA136" s="244"/>
      <c r="AB136" s="163"/>
      <c r="AC136" s="163"/>
      <c r="AD136" s="163"/>
      <c r="AE136" s="163"/>
      <c r="AF136" s="163"/>
      <c r="AG136" s="163"/>
      <c r="AH136" s="163"/>
      <c r="AI136" s="163"/>
      <c r="AJ136" s="163"/>
      <c r="AK136" s="163"/>
      <c r="AL136" s="163"/>
      <c r="AM136" s="163"/>
      <c r="AN136" s="163"/>
      <c r="AO136" s="163"/>
      <c r="AP136" s="163"/>
      <c r="AQ136" s="163"/>
      <c r="AR136" s="163"/>
      <c r="AS136" s="163"/>
      <c r="AT136" s="163"/>
      <c r="AU136" s="163"/>
      <c r="AV136" s="163"/>
      <c r="AW136" s="163"/>
      <c r="AX136" s="163"/>
      <c r="AY136" s="163"/>
      <c r="AZ136" s="163"/>
      <c r="BA136" s="163"/>
    </row>
    <row r="137" spans="1:53" x14ac:dyDescent="0.25">
      <c r="A137" s="163"/>
      <c r="B137" s="240"/>
      <c r="C137" s="240"/>
      <c r="D137" s="164"/>
      <c r="E137" s="164"/>
      <c r="F137" s="241"/>
      <c r="G137" s="241"/>
      <c r="H137" s="241"/>
      <c r="I137" s="241"/>
      <c r="J137" s="163"/>
      <c r="K137" s="164"/>
      <c r="L137" s="163"/>
      <c r="M137" s="163"/>
      <c r="N137" s="163"/>
      <c r="O137" s="163"/>
      <c r="P137" s="242"/>
      <c r="Q137" s="242"/>
      <c r="R137" s="242"/>
      <c r="S137" s="243"/>
      <c r="T137" s="243"/>
      <c r="U137" s="243"/>
      <c r="V137" s="244"/>
      <c r="W137" s="244"/>
      <c r="X137" s="244"/>
      <c r="Y137" s="244"/>
      <c r="Z137" s="244"/>
      <c r="AA137" s="244"/>
      <c r="AB137" s="163"/>
      <c r="AC137" s="163"/>
      <c r="AD137" s="163"/>
      <c r="AE137" s="163"/>
      <c r="AF137" s="163"/>
      <c r="AG137" s="163"/>
      <c r="AH137" s="163"/>
      <c r="AI137" s="163"/>
      <c r="AJ137" s="163"/>
      <c r="AK137" s="163"/>
      <c r="AL137" s="163"/>
      <c r="AM137" s="163"/>
      <c r="AN137" s="163"/>
      <c r="AO137" s="163"/>
      <c r="AP137" s="163"/>
      <c r="AQ137" s="163"/>
      <c r="AR137" s="163"/>
      <c r="AS137" s="163"/>
      <c r="AT137" s="163"/>
      <c r="AU137" s="163"/>
      <c r="AV137" s="163"/>
      <c r="AW137" s="163"/>
      <c r="AX137" s="163"/>
      <c r="AY137" s="163"/>
      <c r="AZ137" s="163"/>
      <c r="BA137" s="163"/>
    </row>
    <row r="138" spans="1:53" x14ac:dyDescent="0.25">
      <c r="A138" s="163"/>
      <c r="B138" s="240"/>
      <c r="C138" s="240"/>
      <c r="D138" s="164"/>
      <c r="E138" s="164"/>
      <c r="F138" s="241"/>
      <c r="G138" s="241"/>
      <c r="H138" s="241"/>
      <c r="I138" s="241"/>
      <c r="J138" s="163"/>
      <c r="K138" s="164"/>
      <c r="L138" s="163"/>
      <c r="M138" s="163"/>
      <c r="N138" s="163"/>
      <c r="O138" s="163"/>
      <c r="P138" s="242"/>
      <c r="Q138" s="242"/>
      <c r="R138" s="242"/>
      <c r="S138" s="243"/>
      <c r="T138" s="243"/>
      <c r="U138" s="243"/>
      <c r="V138" s="244"/>
      <c r="W138" s="244"/>
      <c r="X138" s="244"/>
      <c r="Y138" s="244"/>
      <c r="Z138" s="244"/>
      <c r="AA138" s="244"/>
      <c r="AB138" s="163"/>
      <c r="AC138" s="163"/>
      <c r="AD138" s="163"/>
      <c r="AE138" s="163"/>
      <c r="AF138" s="163"/>
      <c r="AG138" s="163"/>
      <c r="AH138" s="163"/>
      <c r="AI138" s="163"/>
      <c r="AJ138" s="163"/>
      <c r="AK138" s="163"/>
      <c r="AL138" s="163"/>
      <c r="AM138" s="163"/>
      <c r="AN138" s="163"/>
      <c r="AO138" s="163"/>
      <c r="AP138" s="163"/>
      <c r="AQ138" s="163"/>
      <c r="AR138" s="163"/>
      <c r="AS138" s="163"/>
      <c r="AT138" s="163"/>
      <c r="AU138" s="163"/>
      <c r="AV138" s="163"/>
      <c r="AW138" s="163"/>
      <c r="AX138" s="163"/>
      <c r="AY138" s="163"/>
      <c r="AZ138" s="163"/>
      <c r="BA138" s="163"/>
    </row>
    <row r="139" spans="1:53" x14ac:dyDescent="0.25">
      <c r="A139" s="163"/>
      <c r="B139" s="240"/>
      <c r="C139" s="240"/>
      <c r="D139" s="164"/>
      <c r="E139" s="164"/>
      <c r="F139" s="241"/>
      <c r="G139" s="241"/>
      <c r="H139" s="241"/>
      <c r="I139" s="241"/>
      <c r="J139" s="163"/>
      <c r="K139" s="164"/>
      <c r="L139" s="163"/>
      <c r="M139" s="163"/>
      <c r="N139" s="163"/>
      <c r="O139" s="163"/>
      <c r="P139" s="242"/>
      <c r="Q139" s="242"/>
      <c r="R139" s="242"/>
      <c r="S139" s="243"/>
      <c r="T139" s="243"/>
      <c r="U139" s="243"/>
      <c r="V139" s="244"/>
      <c r="W139" s="244"/>
      <c r="X139" s="244"/>
      <c r="Y139" s="244"/>
      <c r="Z139" s="244"/>
      <c r="AA139" s="244"/>
      <c r="AB139" s="163"/>
      <c r="AC139" s="163"/>
      <c r="AD139" s="163"/>
      <c r="AE139" s="163"/>
      <c r="AF139" s="163"/>
      <c r="AG139" s="163"/>
      <c r="AH139" s="163"/>
      <c r="AI139" s="163"/>
      <c r="AJ139" s="163"/>
      <c r="AK139" s="163"/>
      <c r="AL139" s="163"/>
      <c r="AM139" s="163"/>
      <c r="AN139" s="163"/>
      <c r="AO139" s="163"/>
      <c r="AP139" s="163"/>
      <c r="AQ139" s="163"/>
      <c r="AR139" s="163"/>
      <c r="AS139" s="163"/>
      <c r="AT139" s="163"/>
      <c r="AU139" s="163"/>
      <c r="AV139" s="163"/>
      <c r="AW139" s="163"/>
      <c r="AX139" s="163"/>
      <c r="AY139" s="163"/>
      <c r="AZ139" s="163"/>
      <c r="BA139" s="163"/>
    </row>
    <row r="140" spans="1:53" x14ac:dyDescent="0.25">
      <c r="A140" s="163"/>
      <c r="B140" s="240"/>
      <c r="C140" s="240"/>
      <c r="D140" s="164"/>
      <c r="E140" s="164"/>
      <c r="F140" s="241"/>
      <c r="G140" s="241"/>
      <c r="H140" s="241"/>
      <c r="I140" s="241"/>
      <c r="J140" s="163"/>
      <c r="K140" s="164"/>
      <c r="L140" s="163"/>
      <c r="M140" s="163"/>
      <c r="N140" s="163"/>
      <c r="O140" s="163"/>
      <c r="P140" s="242"/>
      <c r="Q140" s="242"/>
      <c r="R140" s="242"/>
      <c r="S140" s="243"/>
      <c r="T140" s="243"/>
      <c r="U140" s="243"/>
      <c r="V140" s="244"/>
      <c r="W140" s="244"/>
      <c r="X140" s="244"/>
      <c r="Y140" s="244"/>
      <c r="Z140" s="244"/>
      <c r="AA140" s="244"/>
      <c r="AB140" s="163"/>
      <c r="AC140" s="163"/>
      <c r="AD140" s="163"/>
      <c r="AE140" s="163"/>
      <c r="AF140" s="163"/>
      <c r="AG140" s="163"/>
      <c r="AH140" s="163"/>
      <c r="AI140" s="163"/>
      <c r="AJ140" s="163"/>
      <c r="AK140" s="163"/>
      <c r="AL140" s="163"/>
      <c r="AM140" s="163"/>
      <c r="AN140" s="163"/>
      <c r="AO140" s="163"/>
      <c r="AP140" s="163"/>
      <c r="AQ140" s="163"/>
      <c r="AR140" s="163"/>
      <c r="AS140" s="163"/>
      <c r="AT140" s="163"/>
      <c r="AU140" s="163"/>
      <c r="AV140" s="163"/>
      <c r="AW140" s="163"/>
      <c r="AX140" s="163"/>
      <c r="AY140" s="163"/>
      <c r="AZ140" s="163"/>
      <c r="BA140" s="163"/>
    </row>
    <row r="141" spans="1:53" x14ac:dyDescent="0.25">
      <c r="A141" s="163"/>
      <c r="B141" s="240"/>
      <c r="C141" s="240"/>
      <c r="D141" s="164"/>
      <c r="E141" s="164"/>
      <c r="F141" s="241"/>
      <c r="G141" s="241"/>
      <c r="H141" s="241"/>
      <c r="I141" s="241"/>
      <c r="J141" s="163"/>
      <c r="K141" s="164"/>
      <c r="L141" s="163"/>
      <c r="M141" s="163"/>
      <c r="N141" s="163"/>
      <c r="O141" s="163"/>
      <c r="P141" s="242"/>
      <c r="Q141" s="242"/>
      <c r="R141" s="242"/>
      <c r="S141" s="243"/>
      <c r="T141" s="243"/>
      <c r="U141" s="243"/>
      <c r="V141" s="244"/>
      <c r="W141" s="244"/>
      <c r="X141" s="244"/>
      <c r="Y141" s="244"/>
      <c r="Z141" s="244"/>
      <c r="AA141" s="244"/>
      <c r="AB141" s="163"/>
      <c r="AC141" s="163"/>
      <c r="AD141" s="163"/>
      <c r="AE141" s="163"/>
      <c r="AF141" s="163"/>
      <c r="AG141" s="163"/>
      <c r="AH141" s="163"/>
      <c r="AI141" s="163"/>
      <c r="AJ141" s="163"/>
      <c r="AK141" s="163"/>
      <c r="AL141" s="163"/>
      <c r="AM141" s="163"/>
      <c r="AN141" s="163"/>
      <c r="AO141" s="163"/>
      <c r="AP141" s="163"/>
      <c r="AQ141" s="163"/>
      <c r="AR141" s="163"/>
      <c r="AS141" s="163"/>
      <c r="AT141" s="163"/>
      <c r="AU141" s="163"/>
      <c r="AV141" s="163"/>
      <c r="AW141" s="163"/>
      <c r="AX141" s="163"/>
      <c r="AY141" s="163"/>
      <c r="AZ141" s="163"/>
      <c r="BA141" s="163"/>
    </row>
    <row r="142" spans="1:53" x14ac:dyDescent="0.25">
      <c r="A142" s="163"/>
      <c r="B142" s="240"/>
      <c r="C142" s="240"/>
      <c r="D142" s="164"/>
      <c r="E142" s="164"/>
      <c r="F142" s="241"/>
      <c r="G142" s="241"/>
      <c r="H142" s="241"/>
      <c r="I142" s="241"/>
      <c r="J142" s="163"/>
      <c r="K142" s="164"/>
      <c r="L142" s="163"/>
      <c r="M142" s="163"/>
      <c r="N142" s="163"/>
      <c r="O142" s="163"/>
      <c r="P142" s="242"/>
      <c r="Q142" s="242"/>
      <c r="R142" s="242"/>
      <c r="S142" s="243"/>
      <c r="T142" s="243"/>
      <c r="U142" s="243"/>
      <c r="V142" s="244"/>
      <c r="W142" s="244"/>
      <c r="X142" s="244"/>
      <c r="Y142" s="244"/>
      <c r="Z142" s="244"/>
      <c r="AA142" s="24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3"/>
      <c r="AN142" s="163"/>
      <c r="AO142" s="163"/>
      <c r="AP142" s="163"/>
      <c r="AQ142" s="163"/>
      <c r="AR142" s="163"/>
      <c r="AS142" s="163"/>
      <c r="AT142" s="163"/>
      <c r="AU142" s="163"/>
      <c r="AV142" s="163"/>
      <c r="AW142" s="163"/>
      <c r="AX142" s="163"/>
      <c r="AY142" s="163"/>
      <c r="AZ142" s="163"/>
      <c r="BA142" s="163"/>
    </row>
    <row r="143" spans="1:53" x14ac:dyDescent="0.25">
      <c r="A143" s="163"/>
      <c r="B143" s="240"/>
      <c r="C143" s="240"/>
      <c r="D143" s="164"/>
      <c r="E143" s="164"/>
      <c r="F143" s="241"/>
      <c r="G143" s="241"/>
      <c r="H143" s="241"/>
      <c r="I143" s="241"/>
      <c r="J143" s="163"/>
      <c r="K143" s="164"/>
      <c r="L143" s="163"/>
      <c r="M143" s="163"/>
      <c r="N143" s="163"/>
      <c r="O143" s="163"/>
      <c r="P143" s="242"/>
      <c r="Q143" s="242"/>
      <c r="R143" s="242"/>
      <c r="S143" s="243"/>
      <c r="T143" s="243"/>
      <c r="U143" s="243"/>
      <c r="V143" s="244"/>
      <c r="W143" s="244"/>
      <c r="X143" s="244"/>
      <c r="Y143" s="244"/>
      <c r="Z143" s="244"/>
      <c r="AA143" s="244"/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3"/>
      <c r="AN143" s="163"/>
      <c r="AO143" s="163"/>
      <c r="AP143" s="163"/>
      <c r="AQ143" s="163"/>
      <c r="AR143" s="163"/>
      <c r="AS143" s="163"/>
      <c r="AT143" s="163"/>
      <c r="AU143" s="163"/>
      <c r="AV143" s="163"/>
      <c r="AW143" s="163"/>
      <c r="AX143" s="163"/>
      <c r="AY143" s="163"/>
      <c r="AZ143" s="163"/>
      <c r="BA143" s="163"/>
    </row>
    <row r="144" spans="1:53" x14ac:dyDescent="0.25">
      <c r="A144" s="163"/>
      <c r="B144" s="240"/>
      <c r="C144" s="240"/>
      <c r="D144" s="164"/>
      <c r="E144" s="164"/>
      <c r="F144" s="241"/>
      <c r="G144" s="241"/>
      <c r="H144" s="241"/>
      <c r="I144" s="241"/>
      <c r="J144" s="163"/>
      <c r="K144" s="164"/>
      <c r="L144" s="163"/>
      <c r="M144" s="163"/>
      <c r="N144" s="163"/>
      <c r="O144" s="163"/>
      <c r="P144" s="242"/>
      <c r="Q144" s="242"/>
      <c r="R144" s="242"/>
      <c r="S144" s="243"/>
      <c r="T144" s="243"/>
      <c r="U144" s="243"/>
      <c r="V144" s="244"/>
      <c r="W144" s="244"/>
      <c r="X144" s="244"/>
      <c r="Y144" s="244"/>
      <c r="Z144" s="244"/>
      <c r="AA144" s="244"/>
      <c r="AB144" s="163"/>
      <c r="AC144" s="163"/>
      <c r="AD144" s="163"/>
      <c r="AE144" s="163"/>
      <c r="AF144" s="163"/>
      <c r="AG144" s="163"/>
      <c r="AH144" s="163"/>
      <c r="AI144" s="163"/>
      <c r="AJ144" s="163"/>
      <c r="AK144" s="163"/>
      <c r="AL144" s="163"/>
      <c r="AM144" s="163"/>
      <c r="AN144" s="163"/>
      <c r="AO144" s="163"/>
      <c r="AP144" s="163"/>
      <c r="AQ144" s="163"/>
      <c r="AR144" s="163"/>
      <c r="AS144" s="163"/>
      <c r="AT144" s="163"/>
      <c r="AU144" s="163"/>
      <c r="AV144" s="163"/>
      <c r="AW144" s="163"/>
      <c r="AX144" s="163"/>
      <c r="AY144" s="163"/>
      <c r="AZ144" s="163"/>
      <c r="BA144" s="163"/>
    </row>
    <row r="145" spans="1:53" x14ac:dyDescent="0.25">
      <c r="A145" s="163"/>
      <c r="B145" s="240"/>
      <c r="C145" s="240"/>
      <c r="D145" s="164"/>
      <c r="E145" s="164"/>
      <c r="F145" s="241"/>
      <c r="G145" s="241"/>
      <c r="H145" s="241"/>
      <c r="I145" s="241"/>
      <c r="J145" s="163"/>
      <c r="K145" s="164"/>
      <c r="L145" s="163"/>
      <c r="M145" s="163"/>
      <c r="N145" s="163"/>
      <c r="O145" s="163"/>
      <c r="P145" s="242"/>
      <c r="Q145" s="242"/>
      <c r="R145" s="242"/>
      <c r="S145" s="243"/>
      <c r="T145" s="243"/>
      <c r="U145" s="243"/>
      <c r="V145" s="244"/>
      <c r="W145" s="244"/>
      <c r="X145" s="244"/>
      <c r="Y145" s="244"/>
      <c r="Z145" s="244"/>
      <c r="AA145" s="244"/>
      <c r="AB145" s="163"/>
      <c r="AC145" s="163"/>
      <c r="AD145" s="163"/>
      <c r="AE145" s="163"/>
      <c r="AF145" s="163"/>
      <c r="AG145" s="163"/>
      <c r="AH145" s="163"/>
      <c r="AI145" s="163"/>
      <c r="AJ145" s="163"/>
      <c r="AK145" s="163"/>
      <c r="AL145" s="163"/>
      <c r="AM145" s="163"/>
      <c r="AN145" s="163"/>
      <c r="AO145" s="163"/>
      <c r="AP145" s="163"/>
      <c r="AQ145" s="163"/>
      <c r="AR145" s="163"/>
      <c r="AS145" s="163"/>
      <c r="AT145" s="163"/>
      <c r="AU145" s="163"/>
      <c r="AV145" s="163"/>
      <c r="AW145" s="163"/>
      <c r="AX145" s="163"/>
      <c r="AY145" s="163"/>
      <c r="AZ145" s="163"/>
      <c r="BA145" s="163"/>
    </row>
    <row r="146" spans="1:53" x14ac:dyDescent="0.25">
      <c r="A146" s="163"/>
      <c r="B146" s="240"/>
      <c r="C146" s="240"/>
      <c r="D146" s="164"/>
      <c r="E146" s="164"/>
      <c r="F146" s="241"/>
      <c r="G146" s="241"/>
      <c r="H146" s="241"/>
      <c r="I146" s="241"/>
      <c r="J146" s="163"/>
      <c r="K146" s="164"/>
      <c r="L146" s="163"/>
      <c r="M146" s="163"/>
      <c r="N146" s="163"/>
      <c r="O146" s="163"/>
      <c r="P146" s="242"/>
      <c r="Q146" s="242"/>
      <c r="R146" s="242"/>
      <c r="S146" s="243"/>
      <c r="T146" s="243"/>
      <c r="U146" s="243"/>
      <c r="V146" s="244"/>
      <c r="W146" s="244"/>
      <c r="X146" s="244"/>
      <c r="Y146" s="244"/>
      <c r="Z146" s="244"/>
      <c r="AA146" s="244"/>
      <c r="AB146" s="163"/>
      <c r="AC146" s="163"/>
      <c r="AD146" s="163"/>
      <c r="AE146" s="163"/>
      <c r="AF146" s="163"/>
      <c r="AG146" s="163"/>
      <c r="AH146" s="163"/>
      <c r="AI146" s="163"/>
      <c r="AJ146" s="163"/>
      <c r="AK146" s="163"/>
      <c r="AL146" s="163"/>
      <c r="AM146" s="163"/>
      <c r="AN146" s="163"/>
      <c r="AO146" s="163"/>
      <c r="AP146" s="163"/>
      <c r="AQ146" s="163"/>
      <c r="AR146" s="163"/>
      <c r="AS146" s="163"/>
      <c r="AT146" s="163"/>
      <c r="AU146" s="163"/>
      <c r="AV146" s="163"/>
      <c r="AW146" s="163"/>
      <c r="AX146" s="163"/>
      <c r="AY146" s="163"/>
      <c r="AZ146" s="163"/>
      <c r="BA146" s="163"/>
    </row>
    <row r="147" spans="1:53" x14ac:dyDescent="0.25">
      <c r="A147" s="163"/>
      <c r="B147" s="240"/>
      <c r="C147" s="240"/>
      <c r="D147" s="164"/>
      <c r="E147" s="164"/>
      <c r="F147" s="241"/>
      <c r="G147" s="241"/>
      <c r="H147" s="241"/>
      <c r="I147" s="241"/>
      <c r="J147" s="163"/>
      <c r="K147" s="164"/>
      <c r="L147" s="163"/>
      <c r="M147" s="163"/>
      <c r="N147" s="163"/>
      <c r="O147" s="163"/>
      <c r="P147" s="242"/>
      <c r="Q147" s="242"/>
      <c r="R147" s="242"/>
      <c r="S147" s="243"/>
      <c r="T147" s="243"/>
      <c r="U147" s="243"/>
      <c r="V147" s="244"/>
      <c r="W147" s="244"/>
      <c r="X147" s="244"/>
      <c r="Y147" s="244"/>
      <c r="Z147" s="244"/>
      <c r="AA147" s="244"/>
      <c r="AB147" s="163"/>
      <c r="AC147" s="163"/>
      <c r="AD147" s="163"/>
      <c r="AE147" s="163"/>
      <c r="AF147" s="163"/>
      <c r="AG147" s="163"/>
      <c r="AH147" s="163"/>
      <c r="AI147" s="163"/>
      <c r="AJ147" s="163"/>
      <c r="AK147" s="163"/>
      <c r="AL147" s="163"/>
      <c r="AM147" s="163"/>
      <c r="AN147" s="163"/>
      <c r="AO147" s="163"/>
      <c r="AP147" s="163"/>
      <c r="AQ147" s="163"/>
      <c r="AR147" s="163"/>
      <c r="AS147" s="163"/>
      <c r="AT147" s="163"/>
      <c r="AU147" s="163"/>
      <c r="AV147" s="163"/>
      <c r="AW147" s="163"/>
      <c r="AX147" s="163"/>
      <c r="AY147" s="163"/>
      <c r="AZ147" s="163"/>
      <c r="BA147" s="163"/>
    </row>
    <row r="148" spans="1:53" x14ac:dyDescent="0.25">
      <c r="A148" s="163"/>
      <c r="B148" s="240"/>
      <c r="C148" s="240"/>
      <c r="D148" s="164"/>
      <c r="E148" s="164"/>
      <c r="F148" s="241"/>
      <c r="G148" s="241"/>
      <c r="H148" s="241"/>
      <c r="I148" s="241"/>
      <c r="J148" s="163"/>
      <c r="K148" s="164"/>
      <c r="L148" s="163"/>
      <c r="M148" s="163"/>
      <c r="N148" s="163"/>
      <c r="O148" s="163"/>
      <c r="P148" s="242"/>
      <c r="Q148" s="242"/>
      <c r="R148" s="242"/>
      <c r="S148" s="243"/>
      <c r="T148" s="243"/>
      <c r="U148" s="243"/>
      <c r="V148" s="244"/>
      <c r="W148" s="244"/>
      <c r="X148" s="244"/>
      <c r="Y148" s="244"/>
      <c r="Z148" s="244"/>
      <c r="AA148" s="244"/>
      <c r="AB148" s="163"/>
      <c r="AC148" s="163"/>
      <c r="AD148" s="163"/>
      <c r="AE148" s="163"/>
      <c r="AF148" s="163"/>
      <c r="AG148" s="163"/>
      <c r="AH148" s="163"/>
      <c r="AI148" s="163"/>
      <c r="AJ148" s="163"/>
      <c r="AK148" s="163"/>
      <c r="AL148" s="163"/>
      <c r="AM148" s="163"/>
      <c r="AN148" s="163"/>
      <c r="AO148" s="163"/>
      <c r="AP148" s="163"/>
      <c r="AQ148" s="163"/>
      <c r="AR148" s="163"/>
      <c r="AS148" s="163"/>
      <c r="AT148" s="163"/>
      <c r="AU148" s="163"/>
      <c r="AV148" s="163"/>
      <c r="AW148" s="163"/>
      <c r="AX148" s="163"/>
      <c r="AY148" s="163"/>
      <c r="AZ148" s="163"/>
      <c r="BA148" s="163"/>
    </row>
    <row r="149" spans="1:53" x14ac:dyDescent="0.25">
      <c r="A149" s="163"/>
      <c r="B149" s="240"/>
      <c r="C149" s="240"/>
      <c r="D149" s="164"/>
      <c r="E149" s="164"/>
      <c r="F149" s="241"/>
      <c r="G149" s="241"/>
      <c r="H149" s="241"/>
      <c r="I149" s="241"/>
      <c r="J149" s="163"/>
      <c r="K149" s="164"/>
      <c r="L149" s="163"/>
      <c r="M149" s="163"/>
      <c r="N149" s="163"/>
      <c r="O149" s="163"/>
      <c r="P149" s="242"/>
      <c r="Q149" s="242"/>
      <c r="R149" s="242"/>
      <c r="S149" s="243"/>
      <c r="T149" s="243"/>
      <c r="U149" s="243"/>
      <c r="V149" s="244"/>
      <c r="W149" s="244"/>
      <c r="X149" s="244"/>
      <c r="Y149" s="244"/>
      <c r="Z149" s="244"/>
      <c r="AA149" s="244"/>
      <c r="AB149" s="163"/>
      <c r="AC149" s="163"/>
      <c r="AD149" s="163"/>
      <c r="AE149" s="163"/>
      <c r="AF149" s="163"/>
      <c r="AG149" s="163"/>
      <c r="AH149" s="163"/>
      <c r="AI149" s="163"/>
      <c r="AJ149" s="163"/>
      <c r="AK149" s="163"/>
      <c r="AL149" s="163"/>
      <c r="AM149" s="163"/>
      <c r="AN149" s="163"/>
      <c r="AO149" s="163"/>
      <c r="AP149" s="163"/>
      <c r="AQ149" s="163"/>
      <c r="AR149" s="163"/>
      <c r="AS149" s="163"/>
      <c r="AT149" s="163"/>
      <c r="AU149" s="163"/>
      <c r="AV149" s="163"/>
      <c r="AW149" s="163"/>
      <c r="AX149" s="163"/>
      <c r="AY149" s="163"/>
      <c r="AZ149" s="163"/>
      <c r="BA149" s="163"/>
    </row>
    <row r="150" spans="1:53" x14ac:dyDescent="0.25">
      <c r="A150" s="163"/>
      <c r="B150" s="240"/>
      <c r="C150" s="240"/>
      <c r="D150" s="164"/>
      <c r="E150" s="164"/>
      <c r="F150" s="241"/>
      <c r="G150" s="241"/>
      <c r="H150" s="241"/>
      <c r="I150" s="241"/>
      <c r="J150" s="163"/>
      <c r="K150" s="164"/>
      <c r="L150" s="163"/>
      <c r="M150" s="163"/>
      <c r="N150" s="163"/>
      <c r="O150" s="163"/>
      <c r="P150" s="242"/>
      <c r="Q150" s="242"/>
      <c r="R150" s="242"/>
      <c r="S150" s="243"/>
      <c r="T150" s="243"/>
      <c r="U150" s="243"/>
      <c r="V150" s="244"/>
      <c r="W150" s="244"/>
      <c r="X150" s="244"/>
      <c r="Y150" s="244"/>
      <c r="Z150" s="244"/>
      <c r="AA150" s="244"/>
      <c r="AB150" s="163"/>
      <c r="AC150" s="163"/>
      <c r="AD150" s="163"/>
      <c r="AE150" s="163"/>
      <c r="AF150" s="163"/>
      <c r="AG150" s="163"/>
      <c r="AH150" s="163"/>
      <c r="AI150" s="163"/>
      <c r="AJ150" s="163"/>
      <c r="AK150" s="163"/>
      <c r="AL150" s="163"/>
      <c r="AM150" s="163"/>
      <c r="AN150" s="163"/>
      <c r="AO150" s="163"/>
      <c r="AP150" s="163"/>
      <c r="AQ150" s="163"/>
      <c r="AR150" s="163"/>
      <c r="AS150" s="163"/>
      <c r="AT150" s="163"/>
      <c r="AU150" s="163"/>
      <c r="AV150" s="163"/>
      <c r="AW150" s="163"/>
      <c r="AX150" s="163"/>
      <c r="AY150" s="163"/>
      <c r="AZ150" s="163"/>
      <c r="BA150" s="163"/>
    </row>
    <row r="151" spans="1:53" x14ac:dyDescent="0.25">
      <c r="A151" s="163"/>
      <c r="B151" s="240"/>
      <c r="C151" s="240"/>
      <c r="D151" s="164"/>
      <c r="E151" s="164"/>
      <c r="F151" s="241"/>
      <c r="G151" s="241"/>
      <c r="H151" s="241"/>
      <c r="I151" s="241"/>
      <c r="J151" s="163"/>
      <c r="K151" s="164"/>
      <c r="L151" s="163"/>
      <c r="M151" s="163"/>
      <c r="N151" s="163"/>
      <c r="O151" s="163"/>
      <c r="P151" s="242"/>
      <c r="Q151" s="242"/>
      <c r="R151" s="242"/>
      <c r="S151" s="243"/>
      <c r="T151" s="243"/>
      <c r="U151" s="243"/>
      <c r="V151" s="244"/>
      <c r="W151" s="244"/>
      <c r="X151" s="244"/>
      <c r="Y151" s="244"/>
      <c r="Z151" s="244"/>
      <c r="AA151" s="24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3"/>
      <c r="AN151" s="163"/>
      <c r="AO151" s="163"/>
      <c r="AP151" s="163"/>
      <c r="AQ151" s="163"/>
      <c r="AR151" s="163"/>
      <c r="AS151" s="163"/>
      <c r="AT151" s="163"/>
      <c r="AU151" s="163"/>
      <c r="AV151" s="163"/>
      <c r="AW151" s="163"/>
      <c r="AX151" s="163"/>
      <c r="AY151" s="163"/>
      <c r="AZ151" s="163"/>
      <c r="BA151" s="163"/>
    </row>
    <row r="152" spans="1:53" x14ac:dyDescent="0.25">
      <c r="A152" s="163"/>
      <c r="B152" s="240"/>
      <c r="C152" s="240"/>
      <c r="D152" s="164"/>
      <c r="E152" s="164"/>
      <c r="F152" s="241"/>
      <c r="G152" s="241"/>
      <c r="H152" s="241"/>
      <c r="I152" s="241"/>
      <c r="J152" s="163"/>
      <c r="K152" s="164"/>
      <c r="L152" s="163"/>
      <c r="M152" s="163"/>
      <c r="N152" s="163"/>
      <c r="O152" s="163"/>
      <c r="P152" s="242"/>
      <c r="Q152" s="242"/>
      <c r="R152" s="242"/>
      <c r="S152" s="243"/>
      <c r="T152" s="243"/>
      <c r="U152" s="243"/>
      <c r="V152" s="244"/>
      <c r="W152" s="244"/>
      <c r="X152" s="244"/>
      <c r="Y152" s="244"/>
      <c r="Z152" s="244"/>
      <c r="AA152" s="244"/>
      <c r="AB152" s="163"/>
      <c r="AC152" s="163"/>
      <c r="AD152" s="163"/>
      <c r="AE152" s="163"/>
      <c r="AF152" s="163"/>
      <c r="AG152" s="163"/>
      <c r="AH152" s="163"/>
      <c r="AI152" s="163"/>
      <c r="AJ152" s="163"/>
      <c r="AK152" s="163"/>
      <c r="AL152" s="163"/>
      <c r="AM152" s="163"/>
      <c r="AN152" s="163"/>
      <c r="AO152" s="163"/>
      <c r="AP152" s="163"/>
      <c r="AQ152" s="163"/>
      <c r="AR152" s="163"/>
      <c r="AS152" s="163"/>
      <c r="AT152" s="163"/>
      <c r="AU152" s="163"/>
      <c r="AV152" s="163"/>
      <c r="AW152" s="163"/>
      <c r="AX152" s="163"/>
      <c r="AY152" s="163"/>
      <c r="AZ152" s="163"/>
      <c r="BA152" s="163"/>
    </row>
  </sheetData>
  <mergeCells count="66">
    <mergeCell ref="D3:I3"/>
    <mergeCell ref="D4:I4"/>
    <mergeCell ref="Q4:X4"/>
    <mergeCell ref="D5:I5"/>
    <mergeCell ref="Q5:R5"/>
    <mergeCell ref="AB5:AF5"/>
    <mergeCell ref="D6:I6"/>
    <mergeCell ref="Q6:X6"/>
    <mergeCell ref="D7:I7"/>
    <mergeCell ref="Q7:X7"/>
    <mergeCell ref="AB7:AF7"/>
    <mergeCell ref="D8:I8"/>
    <mergeCell ref="Q8:X8"/>
    <mergeCell ref="D9:I9"/>
    <mergeCell ref="Q9:X9"/>
    <mergeCell ref="D10:I10"/>
    <mergeCell ref="B12:N12"/>
    <mergeCell ref="P12:AD12"/>
    <mergeCell ref="AE12:AF12"/>
    <mergeCell ref="B2:C10"/>
    <mergeCell ref="D2:I2"/>
    <mergeCell ref="P2:X3"/>
    <mergeCell ref="AB2:AF2"/>
    <mergeCell ref="AG12:AH12"/>
    <mergeCell ref="B14:F15"/>
    <mergeCell ref="P14:V15"/>
    <mergeCell ref="W14:AB14"/>
    <mergeCell ref="AC14:AF14"/>
    <mergeCell ref="AG14:AH14"/>
    <mergeCell ref="W15:AB15"/>
    <mergeCell ref="B25:F26"/>
    <mergeCell ref="AC25:AF25"/>
    <mergeCell ref="P28:V29"/>
    <mergeCell ref="W28:AB28"/>
    <mergeCell ref="AC28:AF28"/>
    <mergeCell ref="AG28:AH28"/>
    <mergeCell ref="W29:AB29"/>
    <mergeCell ref="AC35:AF35"/>
    <mergeCell ref="B36:F37"/>
    <mergeCell ref="P38:V39"/>
    <mergeCell ref="W38:AB38"/>
    <mergeCell ref="AC38:AF38"/>
    <mergeCell ref="AG38:AH38"/>
    <mergeCell ref="W39:Y39"/>
    <mergeCell ref="AC43:AF43"/>
    <mergeCell ref="P46:V47"/>
    <mergeCell ref="W46:AB46"/>
    <mergeCell ref="AC46:AF46"/>
    <mergeCell ref="AG46:AH46"/>
    <mergeCell ref="B47:F48"/>
    <mergeCell ref="W47:Y47"/>
    <mergeCell ref="AC49:AF49"/>
    <mergeCell ref="AC50:AF50"/>
    <mergeCell ref="P53:V54"/>
    <mergeCell ref="W53:AB53"/>
    <mergeCell ref="AC53:AF53"/>
    <mergeCell ref="AG53:AH53"/>
    <mergeCell ref="W54:Y54"/>
    <mergeCell ref="B80:F81"/>
    <mergeCell ref="B91:F92"/>
    <mergeCell ref="AC56:AF56"/>
    <mergeCell ref="AC57:AF57"/>
    <mergeCell ref="B58:F59"/>
    <mergeCell ref="P60:V61"/>
    <mergeCell ref="X60:AB61"/>
    <mergeCell ref="B69:F70"/>
  </mergeCells>
  <conditionalFormatting sqref="C16:C21 E16:E21 C27:C32 E27:E32 C38:C43 E38:E43 C49:C54 E49:E54 C60:C65 E60:E65 C71:C76 E71:E76 C82:C87 E82:E87 C93:C98 E93:E98 Q16:Q23 U16:U23 Q30:Q33 U30:U33 Q40:Q41 U40:U41 Q48 U48 U55 Q55">
    <cfRule type="cellIs" dxfId="6" priority="7" stopIfTrue="1" operator="equal">
      <formula>""</formula>
    </cfRule>
  </conditionalFormatting>
  <conditionalFormatting sqref="R16:R23 T16:T23">
    <cfRule type="expression" dxfId="5" priority="6" stopIfTrue="1">
      <formula>IF(AND($Q16=$U16,$Q16&lt;&gt;"",$U16&lt;&gt;"",OR($R16="",$T16="")),1,0)=1</formula>
    </cfRule>
  </conditionalFormatting>
  <conditionalFormatting sqref="R30:R33 T30:T33">
    <cfRule type="expression" dxfId="4" priority="5" stopIfTrue="1">
      <formula>IF(AND($Q30=$U30,$Q30&lt;&gt;"",$U30&lt;&gt;"",OR($R30="",$T30="")),1,0)=1</formula>
    </cfRule>
  </conditionalFormatting>
  <conditionalFormatting sqref="R40:R41 T40:T41">
    <cfRule type="expression" dxfId="3" priority="4" stopIfTrue="1">
      <formula>IF(AND($Q40=$U40,$Q40&lt;&gt;"",$U40&lt;&gt;"",OR($R40="",$T40="")),1,0)=1</formula>
    </cfRule>
  </conditionalFormatting>
  <conditionalFormatting sqref="R48 T48">
    <cfRule type="expression" dxfId="2" priority="3" stopIfTrue="1">
      <formula>IF(AND($Q48=$U48,$Q48&lt;&gt;"",$U48&lt;&gt;"",OR($R48="",$T48="")),1,0)=1</formula>
    </cfRule>
  </conditionalFormatting>
  <conditionalFormatting sqref="R55 T55">
    <cfRule type="expression" dxfId="1" priority="2" stopIfTrue="1">
      <formula>IF(AND($Q55=$U55,$Q55&lt;&gt;"",$U55&lt;&gt;"",OR($R55="",$T55="")),1,0)=1</formula>
    </cfRule>
  </conditionalFormatting>
  <conditionalFormatting sqref="Q4:Q9 R5">
    <cfRule type="expression" dxfId="0" priority="1" stopIfTrue="1">
      <formula>IF($Q4="",1,0)=1</formula>
    </cfRule>
  </conditionalFormatting>
  <hyperlinks>
    <hyperlink ref="AB2" location="Menu!A1" tooltip="Menu Principal" display="Menu Principal"/>
    <hyperlink ref="AB5:AF5" location="'Cargar Quiniela'!A1" display="Cargar Desde Texto"/>
    <hyperlink ref="AB2:AF2" location="'Cargar Quiniela'!A1" display="Actualizar Datos"/>
    <hyperlink ref="AB7:AF7" location="'Cargar Quiniela'!A1:AJ110" display="Seleccionar Datos"/>
  </hyperlinks>
  <pageMargins left="0.7" right="0.7" top="0.75" bottom="0.75" header="0.3" footer="0.3"/>
  <pageSetup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</vt:i4>
      </vt:variant>
      <vt:variant>
        <vt:lpstr>Named Ranges</vt:lpstr>
      </vt:variant>
      <vt:variant>
        <vt:i4>41</vt:i4>
      </vt:variant>
    </vt:vector>
  </HeadingPairs>
  <TitlesOfParts>
    <vt:vector size="92" baseType="lpstr">
      <vt:lpstr>Menu</vt:lpstr>
      <vt:lpstr>- A -</vt:lpstr>
      <vt:lpstr>- B -</vt:lpstr>
      <vt:lpstr>- C -</vt:lpstr>
      <vt:lpstr>- D -</vt:lpstr>
      <vt:lpstr>- E -</vt:lpstr>
      <vt:lpstr>- F -</vt:lpstr>
      <vt:lpstr>- G -</vt:lpstr>
      <vt:lpstr>- H -</vt:lpstr>
      <vt:lpstr>Octavos de Final</vt:lpstr>
      <vt:lpstr>Cuartos de Final</vt:lpstr>
      <vt:lpstr>Semifinal</vt:lpstr>
      <vt:lpstr>3er puesto y FINAL</vt:lpstr>
      <vt:lpstr>Fixture</vt:lpstr>
      <vt:lpstr>Quiniela</vt:lpstr>
      <vt:lpstr>Puntos</vt:lpstr>
      <vt:lpstr>Config</vt:lpstr>
      <vt:lpstr>Calculos</vt:lpstr>
      <vt:lpstr>Calculos M</vt:lpstr>
      <vt:lpstr>CalculosAntonio</vt:lpstr>
      <vt:lpstr>Estadisticas</vt:lpstr>
      <vt:lpstr>Ranking</vt:lpstr>
      <vt:lpstr>Manuel Godoy</vt:lpstr>
      <vt:lpstr>Antonio J</vt:lpstr>
      <vt:lpstr>Luis Escamillo</vt:lpstr>
      <vt:lpstr>Cristina Gonzalez</vt:lpstr>
      <vt:lpstr>Jessica Gonzalez</vt:lpstr>
      <vt:lpstr>Daniel Alonzo</vt:lpstr>
      <vt:lpstr>Andres Carvajal</vt:lpstr>
      <vt:lpstr>Akshat Turlybayev</vt:lpstr>
      <vt:lpstr>Rodrigo Feliu</vt:lpstr>
      <vt:lpstr>Gustavo Plaza</vt:lpstr>
      <vt:lpstr>Daniel Parra</vt:lpstr>
      <vt:lpstr>Valeria Rincon</vt:lpstr>
      <vt:lpstr>Franco Rivero</vt:lpstr>
      <vt:lpstr>Ricardo Vielma</vt:lpstr>
      <vt:lpstr>Javier Ajjam</vt:lpstr>
      <vt:lpstr>Javier Ochoa</vt:lpstr>
      <vt:lpstr>Felipe Silva Ardila</vt:lpstr>
      <vt:lpstr>Javier Nunez</vt:lpstr>
      <vt:lpstr>Luis Parilli</vt:lpstr>
      <vt:lpstr>Erika Guillen</vt:lpstr>
      <vt:lpstr>Antonio L. Gonzalez</vt:lpstr>
      <vt:lpstr>Jorge Gimenez</vt:lpstr>
      <vt:lpstr>Tomas Zirczy</vt:lpstr>
      <vt:lpstr>Hernando Lopez</vt:lpstr>
      <vt:lpstr>Luis G Parra</vt:lpstr>
      <vt:lpstr>Pablo Ruggeri</vt:lpstr>
      <vt:lpstr>Manuel Godin</vt:lpstr>
      <vt:lpstr>Nayeem Khalid</vt:lpstr>
      <vt:lpstr>Matt Mciver</vt:lpstr>
      <vt:lpstr>Alemania</vt:lpstr>
      <vt:lpstr>Argelia</vt:lpstr>
      <vt:lpstr>Argentina</vt:lpstr>
      <vt:lpstr>Australia</vt:lpstr>
      <vt:lpstr>Belgica</vt:lpstr>
      <vt:lpstr>Bosnia</vt:lpstr>
      <vt:lpstr>Brasil</vt:lpstr>
      <vt:lpstr>Camerun</vt:lpstr>
      <vt:lpstr>cFiltro</vt:lpstr>
      <vt:lpstr>Chile</vt:lpstr>
      <vt:lpstr>Colombia</vt:lpstr>
      <vt:lpstr>CoreaDelSur</vt:lpstr>
      <vt:lpstr>CostaDeMarfil</vt:lpstr>
      <vt:lpstr>CostaRica</vt:lpstr>
      <vt:lpstr>Croacia</vt:lpstr>
      <vt:lpstr>cUsoPenal</vt:lpstr>
      <vt:lpstr>Ecuador</vt:lpstr>
      <vt:lpstr>España</vt:lpstr>
      <vt:lpstr>Francia</vt:lpstr>
      <vt:lpstr>Ghana</vt:lpstr>
      <vt:lpstr>Grecia</vt:lpstr>
      <vt:lpstr>Holanda</vt:lpstr>
      <vt:lpstr>Honduras</vt:lpstr>
      <vt:lpstr>Inglaterra</vt:lpstr>
      <vt:lpstr>Iran</vt:lpstr>
      <vt:lpstr>Italia</vt:lpstr>
      <vt:lpstr>Japon</vt:lpstr>
      <vt:lpstr>List_Horas</vt:lpstr>
      <vt:lpstr>Mexico</vt:lpstr>
      <vt:lpstr>Nigeria</vt:lpstr>
      <vt:lpstr>Portugal</vt:lpstr>
      <vt:lpstr>Rusia</vt:lpstr>
      <vt:lpstr>SinDatos</vt:lpstr>
      <vt:lpstr>Suiza</vt:lpstr>
      <vt:lpstr>'Calculos M'!tblCalEsta</vt:lpstr>
      <vt:lpstr>CalculosAntonio!tblCalEsta</vt:lpstr>
      <vt:lpstr>tblCalEsta</vt:lpstr>
      <vt:lpstr>tblEquipos</vt:lpstr>
      <vt:lpstr>tblOrdena</vt:lpstr>
      <vt:lpstr>Uruguay</vt:lpstr>
      <vt:lpstr>Usa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SMolina</dc:creator>
  <cp:lastModifiedBy>MMoure</cp:lastModifiedBy>
  <cp:lastPrinted>2014-01-19T23:50:30Z</cp:lastPrinted>
  <dcterms:created xsi:type="dcterms:W3CDTF">2013-12-29T02:14:41Z</dcterms:created>
  <dcterms:modified xsi:type="dcterms:W3CDTF">2014-06-12T22:54:46Z</dcterms:modified>
</cp:coreProperties>
</file>