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3.xml" ContentType="application/vnd.openxmlformats-officedocument.drawing+xml"/>
  <Override PartName="/xl/ink/ink8.xml" ContentType="application/inkml+xml"/>
  <Override PartName="/xl/ink/ink9.xml" ContentType="application/inkml+xml"/>
  <Override PartName="/xl/ink/ink10.xml" ContentType="application/inkml+xml"/>
  <Override PartName="/xl/drawings/drawing4.xml" ContentType="application/vnd.openxmlformats-officedocument.drawing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5.xml" ContentType="application/vnd.openxmlformats-officedocument.drawing+xml"/>
  <Override PartName="/xl/ink/ink20.xml" ContentType="application/inkml+xml"/>
  <Override PartName="/xl/ink/ink21.xml" ContentType="application/inkml+xml"/>
  <Override PartName="/xl/ink/ink22.xml" ContentType="application/inkml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manueltuor/Desktop/UZH/2024:25/IOR/Case Study/"/>
    </mc:Choice>
  </mc:AlternateContent>
  <xr:revisionPtr revIDLastSave="0" documentId="13_ncr:1_{DC039A27-5C93-CB4D-B54C-3460E22246C6}" xr6:coauthVersionLast="47" xr6:coauthVersionMax="47" xr10:uidLastSave="{00000000-0000-0000-0000-000000000000}"/>
  <bookViews>
    <workbookView xWindow="0" yWindow="740" windowWidth="29400" windowHeight="17280" activeTab="6" xr2:uid="{EFF79B8B-873E-064C-8CA9-9D5432DAC3AB}"/>
  </bookViews>
  <sheets>
    <sheet name="Scenario 1" sheetId="20" r:id="rId1"/>
    <sheet name="Scenario 2" sheetId="14" r:id="rId2"/>
    <sheet name="Scenario 3" sheetId="17" r:id="rId3"/>
    <sheet name="Scenario 4" sheetId="19" r:id="rId4"/>
    <sheet name="CO2 4 opt" sheetId="24" r:id="rId5"/>
    <sheet name="CO2 4 min" sheetId="23" r:id="rId6"/>
    <sheet name="Results" sheetId="18" r:id="rId7"/>
    <sheet name="Distances" sheetId="11" r:id="rId8"/>
    <sheet name="Distances Matrix" sheetId="9" r:id="rId9"/>
    <sheet name="Minimal Data" sheetId="5" r:id="rId10"/>
    <sheet name="Raw Data" sheetId="1" r:id="rId11"/>
  </sheets>
  <definedNames>
    <definedName name="ATVIE" localSheetId="0">'Scenario 1'!#REF!</definedName>
    <definedName name="ATVIE">#REF!</definedName>
    <definedName name="OpenSolver_ChosenSolver" localSheetId="5" hidden="1">CBC</definedName>
    <definedName name="OpenSolver_ChosenSolver" localSheetId="4" hidden="1">CBC</definedName>
    <definedName name="OpenSolver_ChosenSolver" localSheetId="0" hidden="1">CBC</definedName>
    <definedName name="OpenSolver_ChosenSolver" localSheetId="2" hidden="1">CBC</definedName>
    <definedName name="OpenSolver_ChosenSolver" localSheetId="3" hidden="1">CBC</definedName>
    <definedName name="OpenSolver_DualsNewSheet" localSheetId="5" hidden="1">0</definedName>
    <definedName name="OpenSolver_DualsNewSheet" localSheetId="4" hidden="1">0</definedName>
    <definedName name="OpenSolver_DualsNewSheet" localSheetId="0" hidden="1">0</definedName>
    <definedName name="OpenSolver_DualsNewSheet" localSheetId="2" hidden="1">0</definedName>
    <definedName name="OpenSolver_DualsNewSheet" localSheetId="3" hidden="1">0</definedName>
    <definedName name="OpenSolver_LinearityCheck" localSheetId="5" hidden="1">1</definedName>
    <definedName name="OpenSolver_LinearityCheck" localSheetId="4" hidden="1">1</definedName>
    <definedName name="OpenSolver_LinearityCheck" localSheetId="0" hidden="1">1</definedName>
    <definedName name="OpenSolver_LinearityCheck" localSheetId="2" hidden="1">1</definedName>
    <definedName name="OpenSolver_LinearityCheck" localSheetId="3" hidden="1">1</definedName>
    <definedName name="SH_VAL" localSheetId="0">'Scenario 1'!#REF!</definedName>
    <definedName name="SH_VAL">#REF!</definedName>
    <definedName name="SHA_ATVIE" localSheetId="0">'Scenario 1'!#REF!</definedName>
    <definedName name="SHA_ATVIE">#REF!</definedName>
    <definedName name="SHA_FRCDG">#REF!</definedName>
    <definedName name="SHA_PLGDN">#REF!</definedName>
    <definedName name="SHA_VAL">#REF!</definedName>
    <definedName name="solver_adj" localSheetId="5" hidden="1">'CO2 4 min'!$V$4:$X$5,'CO2 4 min'!$V$8:$Y$15,'CO2 4 min'!$AB$11:$AB$15,'CO2 4 min'!$V$18:$AG$21,'CO2 4 min'!$V$29:$Y$36,'CO2 4 min'!$V$39:$AG$42,'CO2 4 min'!$V$46:$X$47,'CO2 4 min'!$V$50:$Y$57,'CO2 4 min'!$V$60:$AG$63</definedName>
    <definedName name="solver_adj" localSheetId="4" hidden="1">'CO2 4 opt'!$V$4:$X$5,'CO2 4 opt'!$AB$11:$AB$15,'CO2 4 opt'!$V$8:$Y$15,'CO2 4 opt'!$V$18:$AG$21,'CO2 4 opt'!$V$29:$Y$36,'CO2 4 opt'!$V$39:$AG$42,'CO2 4 opt'!$V$46:$X$47,'CO2 4 opt'!$V$50:$Y$57,'CO2 4 opt'!$V$60:$AG$63</definedName>
    <definedName name="solver_adj" localSheetId="0" hidden="1">'Scenario 1'!$J$5:$L$6,'Scenario 1'!$J$9:$M$11,'Scenario 1'!$J$14:$U$17</definedName>
    <definedName name="solver_adj" localSheetId="1" hidden="1">'Scenario 2'!$J$5:$L$6,'Scenario 2'!$J$9:$M$11,'Scenario 2'!$J$14:$U$17,'Scenario 2'!$P$7:$S$11,'Scenario 2'!$W$7:$W$11</definedName>
    <definedName name="solver_adj" localSheetId="2" hidden="1">'Scenario 3'!$V$4:$X$5,'Scenario 3'!$V$8:$Y$10,'Scenario 3'!$V$18:$AG$21,'Scenario 3'!$V$29:$Y$31,'Scenario 3'!$V$39:$AG$42,'Scenario 3'!$V$46:$X$47,'Scenario 3'!$V$50:$Y$52,'Scenario 3'!$V$60:$AG$63</definedName>
    <definedName name="solver_adj" localSheetId="3" hidden="1">'Scenario 4'!$V$4:$X$5,'Scenario 4'!$V$8:$Y$15,'Scenario 4'!$AB$11:$AB$15,'Scenario 4'!$V$18:$AG$21,'Scenario 4'!$V$29:$Y$36,'Scenario 4'!$V$39:$AG$42,'Scenario 4'!$V$46:$X$47,'Scenario 4'!$V$50:$Y$57,'Scenario 4'!$V$60:$AG$63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5" hidden="1">2</definedName>
    <definedName name="solver_eng" localSheetId="4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3" hidden="1">1</definedName>
    <definedName name="solver_itr" localSheetId="5" hidden="1">2147483647</definedName>
    <definedName name="solver_itr" localSheetId="4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5" hidden="1">'CO2 4 min'!$AB$11:$AB$15</definedName>
    <definedName name="solver_lhs1" localSheetId="4" hidden="1">'CO2 4 opt'!$AB$11:$AB$15</definedName>
    <definedName name="solver_lhs1" localSheetId="0" hidden="1">'Scenario 1'!$J$14:$U$17</definedName>
    <definedName name="solver_lhs1" localSheetId="1" hidden="1">'Scenario 2'!$J$14:$U$17</definedName>
    <definedName name="solver_lhs1" localSheetId="2" hidden="1">'Scenario 3'!$AW$10:$AW$21</definedName>
    <definedName name="solver_lhs1" localSheetId="3" hidden="1">'Scenario 4'!$AB$11:$AB$15</definedName>
    <definedName name="solver_lhs10" localSheetId="5" hidden="1">'CO2 4 min'!$V$46:$X$47</definedName>
    <definedName name="solver_lhs10" localSheetId="4" hidden="1">'CO2 4 opt'!$V$39:$AG$42</definedName>
    <definedName name="solver_lhs10" localSheetId="1" hidden="1">'Scenario 2'!$W$7:$W$11</definedName>
    <definedName name="solver_lhs11" localSheetId="5" hidden="1">'CO2 4 min'!$V$4:$X$5</definedName>
    <definedName name="solver_lhs11" localSheetId="4" hidden="1">'CO2 4 opt'!$V$46:$X$47</definedName>
    <definedName name="solver_lhs11" localSheetId="1" hidden="1">'Scenario 2'!$W$7:$W$11</definedName>
    <definedName name="solver_lhs12" localSheetId="5" hidden="1">'CO2 4 min'!$V$50:$Y$57</definedName>
    <definedName name="solver_lhs12" localSheetId="4" hidden="1">'CO2 4 opt'!$V$4:$X$5</definedName>
    <definedName name="solver_lhs12" localSheetId="1" hidden="1">'Scenario 2'!$W$7:$W$11</definedName>
    <definedName name="solver_lhs13" localSheetId="5" hidden="1">'CO2 4 min'!$V$60:$AG$63</definedName>
    <definedName name="solver_lhs13" localSheetId="4" hidden="1">'CO2 4 opt'!$V$50:$Y$52</definedName>
    <definedName name="solver_lhs14" localSheetId="5" hidden="1">'CO2 4 min'!$V$8:$Y$15</definedName>
    <definedName name="solver_lhs14" localSheetId="4" hidden="1">'CO2 4 opt'!$V$60:$AG$63</definedName>
    <definedName name="solver_lhs15" localSheetId="5" hidden="1">'CO2 4 min'!$V$8:$Y$15</definedName>
    <definedName name="solver_lhs15" localSheetId="4" hidden="1">'CO2 4 opt'!$V$8:$Y$10</definedName>
    <definedName name="solver_lhs2" localSheetId="5" hidden="1">'CO2 4 min'!$AW$10:$AW$21</definedName>
    <definedName name="solver_lhs2" localSheetId="4" hidden="1">'CO2 4 opt'!$AW$10:$AW$21</definedName>
    <definedName name="solver_lhs2" localSheetId="0" hidden="1">'Scenario 1'!$J$5:$L$6</definedName>
    <definedName name="solver_lhs2" localSheetId="1" hidden="1">'Scenario 2'!$J$5:$L$6</definedName>
    <definedName name="solver_lhs2" localSheetId="2" hidden="1">'Scenario 3'!$AW$24:$AW$30</definedName>
    <definedName name="solver_lhs2" localSheetId="3" hidden="1">'Scenario 4'!$AW$10:$AW$21</definedName>
    <definedName name="solver_lhs3" localSheetId="5" hidden="1">'CO2 4 min'!$AW$24:$AW$30</definedName>
    <definedName name="solver_lhs3" localSheetId="4" hidden="1">'CO2 4 opt'!$AW$24:$AW$30</definedName>
    <definedName name="solver_lhs3" localSheetId="0" hidden="1">'Scenario 1'!$J$9:$M$11</definedName>
    <definedName name="solver_lhs3" localSheetId="1" hidden="1">'Scenario 2'!$J$9:$M$11</definedName>
    <definedName name="solver_lhs3" localSheetId="2" hidden="1">'Scenario 3'!$AW$4:$AW$7</definedName>
    <definedName name="solver_lhs3" localSheetId="3" hidden="1">'Scenario 4'!$AW$24:$AW$30</definedName>
    <definedName name="solver_lhs4" localSheetId="5" hidden="1">'CO2 4 min'!$AW$34:$AW$38</definedName>
    <definedName name="solver_lhs4" localSheetId="4" hidden="1">'CO2 4 opt'!$AW$34:$AW$38</definedName>
    <definedName name="solver_lhs4" localSheetId="0" hidden="1">'Scenario 1'!$O$39:$O$42</definedName>
    <definedName name="solver_lhs4" localSheetId="1" hidden="1">'Scenario 2'!$O$39:$O$42</definedName>
    <definedName name="solver_lhs4" localSheetId="3" hidden="1">'Scenario 4'!$AW$34:$AW$38</definedName>
    <definedName name="solver_lhs5" localSheetId="5" hidden="1">'CO2 4 min'!$AW$41:$AW$45</definedName>
    <definedName name="solver_lhs5" localSheetId="4" hidden="1">'CO2 4 opt'!$AW$41:$AW$45</definedName>
    <definedName name="solver_lhs5" localSheetId="0" hidden="1">'Scenario 1'!$O$45:$O$56</definedName>
    <definedName name="solver_lhs5" localSheetId="1" hidden="1">'Scenario 2'!$O$45:$O$56</definedName>
    <definedName name="solver_lhs5" localSheetId="3" hidden="1">'Scenario 4'!$AW$41:$AW$45</definedName>
    <definedName name="solver_lhs6" localSheetId="5" hidden="1">'CO2 4 min'!$AW$4:$AW$7</definedName>
    <definedName name="solver_lhs6" localSheetId="4" hidden="1">'CO2 4 opt'!$AW$4:$AW$7</definedName>
    <definedName name="solver_lhs6" localSheetId="0" hidden="1">'Scenario 1'!$O$59:$O$65</definedName>
    <definedName name="solver_lhs6" localSheetId="1" hidden="1">'Scenario 2'!$O$59:$O$65</definedName>
    <definedName name="solver_lhs6" localSheetId="3" hidden="1">'Scenario 4'!$AW$4:$AW$7</definedName>
    <definedName name="solver_lhs7" localSheetId="5" hidden="1">'CO2 4 min'!$V$18:$AG$21</definedName>
    <definedName name="solver_lhs7" localSheetId="4" hidden="1">'CO2 4 opt'!$BB$66</definedName>
    <definedName name="solver_lhs7" localSheetId="0" hidden="1">'Scenario 1'!$O$64:$O$70</definedName>
    <definedName name="solver_lhs7" localSheetId="1" hidden="1">'Scenario 2'!$P$7:$S$11</definedName>
    <definedName name="solver_lhs7" localSheetId="3" hidden="1">'Scenario 4'!$BB$66</definedName>
    <definedName name="solver_lhs8" localSheetId="5" hidden="1">'CO2 4 min'!$V$29:$Y$36</definedName>
    <definedName name="solver_lhs8" localSheetId="4" hidden="1">'CO2 4 opt'!$V$18:$AG$21</definedName>
    <definedName name="solver_lhs8" localSheetId="1" hidden="1">'Scenario 2'!$T$39:$T$43</definedName>
    <definedName name="solver_lhs8" localSheetId="3" hidden="1">'Scenario 4'!$AW$60</definedName>
    <definedName name="solver_lhs9" localSheetId="5" hidden="1">'CO2 4 min'!$V$39:$AG$42</definedName>
    <definedName name="solver_lhs9" localSheetId="4" hidden="1">'CO2 4 opt'!$V$29:$Y$31</definedName>
    <definedName name="solver_lhs9" localSheetId="1" hidden="1">'Scenario 2'!$T$46:$T$50</definedName>
    <definedName name="solver_lin" localSheetId="5" hidden="1">1</definedName>
    <definedName name="solver_lin" localSheetId="4" hidden="1">1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5" hidden="1">1</definedName>
    <definedName name="solver_neg" localSheetId="4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5" hidden="1">14</definedName>
    <definedName name="solver_num" localSheetId="4" hidden="1">15</definedName>
    <definedName name="solver_num" localSheetId="0" hidden="1">6</definedName>
    <definedName name="solver_num" localSheetId="1" hidden="1">10</definedName>
    <definedName name="solver_num" localSheetId="2" hidden="1">3</definedName>
    <definedName name="solver_num" localSheetId="3" hidden="1">6</definedName>
    <definedName name="solver_nwt" localSheetId="3" hidden="1">1</definedName>
    <definedName name="solver_opt" localSheetId="5" hidden="1">'CO2 4 min'!$BB$66</definedName>
    <definedName name="solver_opt" localSheetId="4" hidden="1">'CO2 4 opt'!$AW$50</definedName>
    <definedName name="solver_opt" localSheetId="0" hidden="1">'Scenario 1'!$I$35</definedName>
    <definedName name="solver_opt" localSheetId="1" hidden="1">'Scenario 2'!$I$35</definedName>
    <definedName name="solver_opt" localSheetId="2" hidden="1">'Scenario 3'!$AW$50</definedName>
    <definedName name="solver_opt" localSheetId="3" hidden="1">'Scenario 4'!$AW$50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5" hidden="1">5</definedName>
    <definedName name="solver_rel1" localSheetId="4" hidden="1">5</definedName>
    <definedName name="solver_rel1" localSheetId="0" hidden="1">4</definedName>
    <definedName name="solver_rel1" localSheetId="1" hidden="1">4</definedName>
    <definedName name="solver_rel1" localSheetId="2" hidden="1">2</definedName>
    <definedName name="solver_rel1" localSheetId="3" hidden="1">5</definedName>
    <definedName name="solver_rel10" localSheetId="5" hidden="1">4</definedName>
    <definedName name="solver_rel10" localSheetId="4" hidden="1">4</definedName>
    <definedName name="solver_rel10" localSheetId="1" hidden="1">5</definedName>
    <definedName name="solver_rel11" localSheetId="5" hidden="1">4</definedName>
    <definedName name="solver_rel11" localSheetId="4" hidden="1">4</definedName>
    <definedName name="solver_rel11" localSheetId="1" hidden="1">5</definedName>
    <definedName name="solver_rel12" localSheetId="5" hidden="1">4</definedName>
    <definedName name="solver_rel12" localSheetId="4" hidden="1">4</definedName>
    <definedName name="solver_rel12" localSheetId="1" hidden="1">5</definedName>
    <definedName name="solver_rel13" localSheetId="5" hidden="1">4</definedName>
    <definedName name="solver_rel13" localSheetId="4" hidden="1">4</definedName>
    <definedName name="solver_rel14" localSheetId="5" hidden="1">4</definedName>
    <definedName name="solver_rel14" localSheetId="4" hidden="1">4</definedName>
    <definedName name="solver_rel15" localSheetId="5" hidden="1">4</definedName>
    <definedName name="solver_rel15" localSheetId="4" hidden="1">4</definedName>
    <definedName name="solver_rel2" localSheetId="5" hidden="1">2</definedName>
    <definedName name="solver_rel2" localSheetId="4" hidden="1">2</definedName>
    <definedName name="solver_rel2" localSheetId="0" hidden="1">4</definedName>
    <definedName name="solver_rel2" localSheetId="1" hidden="1">4</definedName>
    <definedName name="solver_rel2" localSheetId="2" hidden="1">2</definedName>
    <definedName name="solver_rel2" localSheetId="3" hidden="1">2</definedName>
    <definedName name="solver_rel3" localSheetId="5" hidden="1">2</definedName>
    <definedName name="solver_rel3" localSheetId="4" hidden="1">2</definedName>
    <definedName name="solver_rel3" localSheetId="0" hidden="1">4</definedName>
    <definedName name="solver_rel3" localSheetId="1" hidden="1">4</definedName>
    <definedName name="solver_rel3" localSheetId="2" hidden="1">1</definedName>
    <definedName name="solver_rel3" localSheetId="3" hidden="1">2</definedName>
    <definedName name="solver_rel4" localSheetId="5" hidden="1">1</definedName>
    <definedName name="solver_rel4" localSheetId="4" hidden="1">1</definedName>
    <definedName name="solver_rel4" localSheetId="0" hidden="1">1</definedName>
    <definedName name="solver_rel4" localSheetId="1" hidden="1">1</definedName>
    <definedName name="solver_rel4" localSheetId="3" hidden="1">1</definedName>
    <definedName name="solver_rel5" localSheetId="5" hidden="1">1</definedName>
    <definedName name="solver_rel5" localSheetId="4" hidden="1">1</definedName>
    <definedName name="solver_rel5" localSheetId="0" hidden="1">2</definedName>
    <definedName name="solver_rel5" localSheetId="1" hidden="1">2</definedName>
    <definedName name="solver_rel5" localSheetId="3" hidden="1">1</definedName>
    <definedName name="solver_rel6" localSheetId="5" hidden="1">1</definedName>
    <definedName name="solver_rel6" localSheetId="4" hidden="1">1</definedName>
    <definedName name="solver_rel6" localSheetId="0" hidden="1">2</definedName>
    <definedName name="solver_rel6" localSheetId="1" hidden="1">2</definedName>
    <definedName name="solver_rel6" localSheetId="3" hidden="1">1</definedName>
    <definedName name="solver_rel7" localSheetId="5" hidden="1">4</definedName>
    <definedName name="solver_rel7" localSheetId="4" hidden="1">1</definedName>
    <definedName name="solver_rel7" localSheetId="0" hidden="1">2</definedName>
    <definedName name="solver_rel7" localSheetId="1" hidden="1">4</definedName>
    <definedName name="solver_rel7" localSheetId="3" hidden="1">1</definedName>
    <definedName name="solver_rel8" localSheetId="5" hidden="1">4</definedName>
    <definedName name="solver_rel8" localSheetId="4" hidden="1">4</definedName>
    <definedName name="solver_rel8" localSheetId="1" hidden="1">1</definedName>
    <definedName name="solver_rel8" localSheetId="3" hidden="1">3</definedName>
    <definedName name="solver_rel9" localSheetId="5" hidden="1">4</definedName>
    <definedName name="solver_rel9" localSheetId="4" hidden="1">4</definedName>
    <definedName name="solver_rel9" localSheetId="1" hidden="1">1</definedName>
    <definedName name="solver_rhs1" localSheetId="5" hidden="1">"binär"</definedName>
    <definedName name="solver_rhs1" localSheetId="4" hidden="1">"binär"</definedName>
    <definedName name="solver_rhs1" localSheetId="0" hidden="1">"Ganzzahlig"</definedName>
    <definedName name="solver_rhs1" localSheetId="1" hidden="1">"Ganzzahlig"</definedName>
    <definedName name="solver_rhs1" localSheetId="2" hidden="1">'Scenario 3'!$AY$10:$AY$21</definedName>
    <definedName name="solver_rhs1" localSheetId="3" hidden="1">"binär"</definedName>
    <definedName name="solver_rhs10" localSheetId="5" hidden="1">"Ganzzahlig"</definedName>
    <definedName name="solver_rhs10" localSheetId="4" hidden="1">"Ganzzahlig"</definedName>
    <definedName name="solver_rhs10" localSheetId="1" hidden="1">"binär"</definedName>
    <definedName name="solver_rhs11" localSheetId="5" hidden="1">"Ganzzahlig"</definedName>
    <definedName name="solver_rhs11" localSheetId="4" hidden="1">"Ganzzahlig"</definedName>
    <definedName name="solver_rhs11" localSheetId="1" hidden="1">"binär"</definedName>
    <definedName name="solver_rhs12" localSheetId="5" hidden="1">"Ganzzahlig"</definedName>
    <definedName name="solver_rhs12" localSheetId="4" hidden="1">"Ganzzahlig"</definedName>
    <definedName name="solver_rhs12" localSheetId="1" hidden="1">"binär"</definedName>
    <definedName name="solver_rhs13" localSheetId="5" hidden="1">"Ganzzahlig"</definedName>
    <definedName name="solver_rhs13" localSheetId="4" hidden="1">"Ganzzahlig"</definedName>
    <definedName name="solver_rhs14" localSheetId="5" hidden="1">"Ganzzahlig"</definedName>
    <definedName name="solver_rhs14" localSheetId="4" hidden="1">"Ganzzahlig"</definedName>
    <definedName name="solver_rhs15" localSheetId="5" hidden="1">"Ganzzahlig"</definedName>
    <definedName name="solver_rhs15" localSheetId="4" hidden="1">"Ganzzahlig"</definedName>
    <definedName name="solver_rhs2" localSheetId="5" hidden="1">'CO2 4 min'!$AY$10:$AY$21</definedName>
    <definedName name="solver_rhs2" localSheetId="4" hidden="1">'CO2 4 opt'!$AY$10:$AY$21</definedName>
    <definedName name="solver_rhs2" localSheetId="0" hidden="1">"Ganzzahlig"</definedName>
    <definedName name="solver_rhs2" localSheetId="1" hidden="1">"Ganzzahlig"</definedName>
    <definedName name="solver_rhs2" localSheetId="2" hidden="1">'Scenario 3'!$AY$24:$AY$30</definedName>
    <definedName name="solver_rhs2" localSheetId="3" hidden="1">'Scenario 4'!$AY$10:$AY$21</definedName>
    <definedName name="solver_rhs3" localSheetId="5" hidden="1">'CO2 4 min'!$AY$24:$AY$30</definedName>
    <definedName name="solver_rhs3" localSheetId="4" hidden="1">'CO2 4 opt'!$AY$24:$AY$30</definedName>
    <definedName name="solver_rhs3" localSheetId="0" hidden="1">"Ganzzahlig"</definedName>
    <definedName name="solver_rhs3" localSheetId="1" hidden="1">"Ganzzahlig"</definedName>
    <definedName name="solver_rhs3" localSheetId="2" hidden="1">'Scenario 3'!$AY$4:$AY$7</definedName>
    <definedName name="solver_rhs3" localSheetId="3" hidden="1">'Scenario 4'!$AY$24:$AY$30</definedName>
    <definedName name="solver_rhs4" localSheetId="5" hidden="1">'CO2 4 min'!$AY$34:$AY$38</definedName>
    <definedName name="solver_rhs4" localSheetId="4" hidden="1">'CO2 4 opt'!$AY$34:$AY$38</definedName>
    <definedName name="solver_rhs4" localSheetId="0" hidden="1">'Scenario 1'!$Q$39:$Q$42</definedName>
    <definedName name="solver_rhs4" localSheetId="1" hidden="1">'Scenario 2'!$Q$39:$Q$42</definedName>
    <definedName name="solver_rhs4" localSheetId="3" hidden="1">'Scenario 4'!$AY$34:$AY$38</definedName>
    <definedName name="solver_rhs5" localSheetId="5" hidden="1">'CO2 4 min'!$AY$41:$AY$45</definedName>
    <definedName name="solver_rhs5" localSheetId="4" hidden="1">'CO2 4 opt'!$AY$41:$AY$45</definedName>
    <definedName name="solver_rhs5" localSheetId="0" hidden="1">'Scenario 1'!$Q$45:$Q$56</definedName>
    <definedName name="solver_rhs5" localSheetId="1" hidden="1">'Scenario 2'!$Q$45:$Q$56</definedName>
    <definedName name="solver_rhs5" localSheetId="3" hidden="1">'Scenario 4'!$AY$41:$AY$45</definedName>
    <definedName name="solver_rhs6" localSheetId="5" hidden="1">'CO2 4 min'!$AY$4:$AY$7</definedName>
    <definedName name="solver_rhs6" localSheetId="4" hidden="1">'CO2 4 opt'!$AY$4:$AY$7</definedName>
    <definedName name="solver_rhs6" localSheetId="0" hidden="1">'Scenario 1'!$Q$59:$Q$65</definedName>
    <definedName name="solver_rhs6" localSheetId="1" hidden="1">'Scenario 2'!$Q$59:$Q$65</definedName>
    <definedName name="solver_rhs6" localSheetId="3" hidden="1">'Scenario 4'!$AY$4:$AY$7</definedName>
    <definedName name="solver_rhs7" localSheetId="5" hidden="1">"Ganzzahlig"</definedName>
    <definedName name="solver_rhs7" localSheetId="4" hidden="1">'CO2 4 opt'!$BD$66</definedName>
    <definedName name="solver_rhs7" localSheetId="0" hidden="1">'Scenario 1'!$Q$64:$Q$70</definedName>
    <definedName name="solver_rhs7" localSheetId="1" hidden="1">"Ganzzahlig"</definedName>
    <definedName name="solver_rhs7" localSheetId="3" hidden="1">'Scenario 4'!$BD$66</definedName>
    <definedName name="solver_rhs8" localSheetId="5" hidden="1">"Ganzzahlig"</definedName>
    <definedName name="solver_rhs8" localSheetId="4" hidden="1">"Ganzzahlig"</definedName>
    <definedName name="solver_rhs8" localSheetId="1" hidden="1">'Scenario 2'!$V$39:$V$43</definedName>
    <definedName name="solver_rhs8" localSheetId="3" hidden="1">'Scenario 4'!$AY$60</definedName>
    <definedName name="solver_rhs9" localSheetId="5" hidden="1">"Ganzzahlig"</definedName>
    <definedName name="solver_rhs9" localSheetId="4" hidden="1">"Ganzzahlig"</definedName>
    <definedName name="solver_rhs9" localSheetId="1" hidden="1">'Scenario 2'!$V$46:$V$50</definedName>
    <definedName name="solver_rlx" localSheetId="5" hidden="1">0</definedName>
    <definedName name="solver_rlx" localSheetId="4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2</definedName>
    <definedName name="solver_scl" localSheetId="1" hidden="1">2</definedName>
    <definedName name="solver_scl" localSheetId="2" hidden="1">1</definedName>
    <definedName name="solver_scl" localSheetId="3" hidden="1">1</definedName>
    <definedName name="solver_sho" localSheetId="5" hidden="1">0</definedName>
    <definedName name="solver_sho" localSheetId="4" hidden="1">0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5" hidden="1">2147483647</definedName>
    <definedName name="solver_tim" localSheetId="4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5" hidden="1">0.05</definedName>
    <definedName name="solver_tol" localSheetId="4" hidden="1">0.05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5" hidden="1">2</definedName>
    <definedName name="solver_typ" localSheetId="4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5" hidden="1">0</definedName>
    <definedName name="solver_val" localSheetId="4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5" hidden="1">2</definedName>
    <definedName name="solver_ver" localSheetId="4" hidden="1">2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3" hidden="1">2</definedName>
    <definedName name="TW_ATVIE">#REF!</definedName>
    <definedName name="TW_FRCDG">#REF!</definedName>
    <definedName name="TW_PLGDN">#REF!</definedName>
    <definedName name="TWPLGDN">#REF!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55" i="24" l="1" a="1"/>
  <c r="AX55" i="24" s="1"/>
  <c r="AX54" i="24" a="1"/>
  <c r="AX54" i="24" s="1"/>
  <c r="AX53" i="24" a="1"/>
  <c r="AX53" i="24" s="1"/>
  <c r="BC50" i="24" a="1"/>
  <c r="BC50" i="24" s="1"/>
  <c r="BC46" i="24" a="1"/>
  <c r="BC46" i="24" s="1"/>
  <c r="AW45" i="24"/>
  <c r="AW44" i="24"/>
  <c r="AW43" i="24"/>
  <c r="AW42" i="24"/>
  <c r="AW41" i="24"/>
  <c r="BC39" i="24" a="1"/>
  <c r="BC39" i="24" s="1"/>
  <c r="AW38" i="24"/>
  <c r="AW37" i="24"/>
  <c r="AW36" i="24"/>
  <c r="AW35" i="24"/>
  <c r="AY34" i="24" a="1"/>
  <c r="AY34" i="24" s="1"/>
  <c r="AW34" i="24"/>
  <c r="AY30" i="24"/>
  <c r="AW30" i="24"/>
  <c r="AY29" i="24"/>
  <c r="AW29" i="24"/>
  <c r="AY28" i="24"/>
  <c r="AW28" i="24"/>
  <c r="AY27" i="24"/>
  <c r="AW27" i="24"/>
  <c r="AY26" i="24"/>
  <c r="AW26" i="24"/>
  <c r="AY25" i="24"/>
  <c r="AW25" i="24"/>
  <c r="AY24" i="24"/>
  <c r="AW24" i="24"/>
  <c r="AW21" i="24"/>
  <c r="AW20" i="24"/>
  <c r="AW19" i="24"/>
  <c r="BC18" i="24" a="1"/>
  <c r="BC18" i="24" s="1"/>
  <c r="AW18" i="24"/>
  <c r="AW17" i="24"/>
  <c r="AW16" i="24"/>
  <c r="AW15" i="24"/>
  <c r="AW14" i="24"/>
  <c r="AW13" i="24"/>
  <c r="AW12" i="24"/>
  <c r="AW11" i="24"/>
  <c r="AN11" i="24" a="1"/>
  <c r="AN11" i="24" s="1"/>
  <c r="AW10" i="24"/>
  <c r="BC8" i="24" a="1"/>
  <c r="BC8" i="24" s="1"/>
  <c r="AW7" i="24"/>
  <c r="B7" i="24"/>
  <c r="BC29" i="24" s="1" a="1"/>
  <c r="BC29" i="24" s="1"/>
  <c r="AW6" i="24"/>
  <c r="AW5" i="24"/>
  <c r="B5" i="24" a="1"/>
  <c r="AJ39" i="24" s="1" a="1"/>
  <c r="AJ39" i="24" s="1"/>
  <c r="AW4" i="24"/>
  <c r="BC50" i="17" a="1"/>
  <c r="BC50" i="17" s="1"/>
  <c r="BC29" i="17" a="1"/>
  <c r="BC29" i="17" s="1"/>
  <c r="BC18" i="17" a="1"/>
  <c r="BC18" i="17" s="1"/>
  <c r="B7" i="17"/>
  <c r="BC39" i="17" s="1" a="1"/>
  <c r="BC39" i="17" s="1"/>
  <c r="AX55" i="23" a="1"/>
  <c r="AX55" i="23" s="1"/>
  <c r="AX54" i="23" a="1"/>
  <c r="AX54" i="23" s="1"/>
  <c r="AX53" i="23" a="1"/>
  <c r="AX53" i="23" s="1"/>
  <c r="BC50" i="23" a="1"/>
  <c r="BC50" i="23" s="1"/>
  <c r="AW45" i="23"/>
  <c r="AW44" i="23"/>
  <c r="AW43" i="23"/>
  <c r="AW42" i="23"/>
  <c r="AW41" i="23"/>
  <c r="AW38" i="23"/>
  <c r="AW37" i="23"/>
  <c r="AW36" i="23"/>
  <c r="AW35" i="23"/>
  <c r="AY34" i="23" a="1"/>
  <c r="AY34" i="23" s="1"/>
  <c r="AW34" i="23"/>
  <c r="AY30" i="23"/>
  <c r="AW30" i="23"/>
  <c r="AY29" i="23"/>
  <c r="AW29" i="23"/>
  <c r="AY28" i="23"/>
  <c r="AW28" i="23"/>
  <c r="AY27" i="23"/>
  <c r="AW27" i="23"/>
  <c r="AY26" i="23"/>
  <c r="AW26" i="23"/>
  <c r="AY25" i="23"/>
  <c r="AW25" i="23"/>
  <c r="AY24" i="23"/>
  <c r="AW24" i="23"/>
  <c r="AW21" i="23"/>
  <c r="AW20" i="23"/>
  <c r="AW19" i="23"/>
  <c r="BC18" i="23" a="1"/>
  <c r="BC18" i="23" s="1"/>
  <c r="AW18" i="23"/>
  <c r="AW17" i="23"/>
  <c r="AW16" i="23"/>
  <c r="AW15" i="23"/>
  <c r="AW14" i="23"/>
  <c r="AW13" i="23"/>
  <c r="AW12" i="23"/>
  <c r="AW11" i="23"/>
  <c r="AN11" i="23" a="1"/>
  <c r="AN11" i="23" s="1"/>
  <c r="AW10" i="23"/>
  <c r="BC8" i="23" a="1"/>
  <c r="BC8" i="23" s="1"/>
  <c r="AW7" i="23"/>
  <c r="B7" i="23"/>
  <c r="BC4" i="23" s="1" a="1"/>
  <c r="BC4" i="23" s="1"/>
  <c r="AW6" i="23"/>
  <c r="AW5" i="23"/>
  <c r="B5" i="23" a="1"/>
  <c r="AJ50" i="23" s="1" a="1"/>
  <c r="AJ50" i="23" s="1"/>
  <c r="AW4" i="23"/>
  <c r="BC29" i="19" a="1"/>
  <c r="BC29" i="19" s="1"/>
  <c r="BC60" i="19" a="1"/>
  <c r="BC60" i="19" s="1"/>
  <c r="B7" i="19"/>
  <c r="BC18" i="19" s="1" a="1"/>
  <c r="BC18" i="19" s="1"/>
  <c r="AJ39" i="17" a="1"/>
  <c r="AJ39" i="17"/>
  <c r="AJ60" i="17" a="1"/>
  <c r="AJ60" i="17" s="1"/>
  <c r="AJ50" i="17" a="1"/>
  <c r="AJ50" i="17" s="1"/>
  <c r="AJ29" i="17" a="1"/>
  <c r="AJ29" i="17" s="1"/>
  <c r="AJ18" i="17" a="1"/>
  <c r="AJ18" i="17" s="1"/>
  <c r="D5" i="17"/>
  <c r="C5" i="17"/>
  <c r="AJ46" i="17" s="1" a="1"/>
  <c r="AJ46" i="17" s="1"/>
  <c r="B5" i="17"/>
  <c r="AJ4" i="17" s="1" a="1"/>
  <c r="AJ4" i="17" s="1"/>
  <c r="AW7" i="17"/>
  <c r="AW6" i="17"/>
  <c r="AW5" i="17"/>
  <c r="AW4" i="17"/>
  <c r="AW21" i="17"/>
  <c r="AW20" i="17"/>
  <c r="AW19" i="17"/>
  <c r="AW18" i="17"/>
  <c r="AW17" i="17"/>
  <c r="AW16" i="17"/>
  <c r="AW15" i="17"/>
  <c r="AW14" i="17"/>
  <c r="AW13" i="17"/>
  <c r="AW12" i="17"/>
  <c r="AW11" i="17"/>
  <c r="AW10" i="17"/>
  <c r="AY30" i="17"/>
  <c r="AY29" i="17"/>
  <c r="AY28" i="17"/>
  <c r="AY27" i="17"/>
  <c r="AY26" i="17"/>
  <c r="AY25" i="17"/>
  <c r="AY24" i="17"/>
  <c r="AW30" i="17"/>
  <c r="AW29" i="17"/>
  <c r="AW28" i="17"/>
  <c r="AW27" i="17"/>
  <c r="AW26" i="17"/>
  <c r="AW25" i="17"/>
  <c r="AW24" i="17"/>
  <c r="AX55" i="17" a="1"/>
  <c r="AX55" i="17" s="1"/>
  <c r="AX54" i="17" a="1"/>
  <c r="AX54" i="17" s="1"/>
  <c r="AX53" i="17" a="1"/>
  <c r="AX53" i="17" s="1"/>
  <c r="XFD1048575" i="19" a="1"/>
  <c r="XFD1048575" i="19" s="1"/>
  <c r="XFD1048574" i="19" a="1"/>
  <c r="XFD1048574" i="19" s="1"/>
  <c r="XFD1048573" i="19" a="1"/>
  <c r="XFD1048573" i="19" s="1"/>
  <c r="XFD1048572" i="19" a="1"/>
  <c r="XFD1048572" i="19" s="1"/>
  <c r="XFD1048571" i="19" a="1"/>
  <c r="XFD1048571" i="19" s="1"/>
  <c r="XFD1048570" i="19" a="1"/>
  <c r="XFD1048570" i="19" s="1"/>
  <c r="XFD1048569" i="19" a="1"/>
  <c r="XFD1048569" i="19" s="1"/>
  <c r="XFD1048568" i="19" a="1"/>
  <c r="XFD1048568" i="19" s="1"/>
  <c r="XFD1048567" i="19" a="1"/>
  <c r="XFD1048567" i="19" s="1"/>
  <c r="XFD1048566" i="19" a="1"/>
  <c r="XFD1048566" i="19" s="1"/>
  <c r="XFD1048565" i="19" a="1"/>
  <c r="XFD1048565" i="19" s="1"/>
  <c r="XFD1048564" i="19" a="1"/>
  <c r="XFD1048564" i="19" s="1"/>
  <c r="XFD1048563" i="19" a="1"/>
  <c r="XFD1048563" i="19" s="1"/>
  <c r="XFD1048562" i="19" a="1"/>
  <c r="XFD1048562" i="19" s="1"/>
  <c r="XFD1048555" i="19" a="1"/>
  <c r="XFD1048555" i="19" s="1"/>
  <c r="XFD1048556" i="19"/>
  <c r="XFD1048557" i="19"/>
  <c r="XFD1048558" i="19"/>
  <c r="XFD1048559" i="19"/>
  <c r="XFD1048560" i="19"/>
  <c r="XFD1048561" i="19"/>
  <c r="XFD1048550" i="19"/>
  <c r="XFD1048551" i="19"/>
  <c r="XFD1048552" i="19"/>
  <c r="XFD1048553" i="19"/>
  <c r="XFD1048554" i="19"/>
  <c r="AW45" i="19"/>
  <c r="AW44" i="19"/>
  <c r="AW43" i="19"/>
  <c r="AW42" i="19"/>
  <c r="AW41" i="19"/>
  <c r="AJ60" i="19" a="1"/>
  <c r="AJ60" i="19" s="1"/>
  <c r="AJ39" i="19" a="1"/>
  <c r="AJ39" i="19" s="1"/>
  <c r="T46" i="14"/>
  <c r="AY27" i="19"/>
  <c r="AW27" i="19"/>
  <c r="P22" i="14" a="1"/>
  <c r="P22" i="14"/>
  <c r="AW26" i="19"/>
  <c r="AY25" i="19"/>
  <c r="AW25" i="19"/>
  <c r="AY24" i="19"/>
  <c r="AW24" i="19"/>
  <c r="I35" i="14"/>
  <c r="AW6" i="19"/>
  <c r="AW5" i="19"/>
  <c r="AW4" i="19"/>
  <c r="B5" i="19" a="1"/>
  <c r="B5" i="19"/>
  <c r="AJ4" i="19" s="1" a="1"/>
  <c r="AJ4" i="19" s="1"/>
  <c r="AW30" i="19"/>
  <c r="AY30" i="19"/>
  <c r="AY29" i="19"/>
  <c r="AY28" i="19"/>
  <c r="AW28" i="19"/>
  <c r="AY26" i="19"/>
  <c r="AJ50" i="19" a="1"/>
  <c r="AJ50" i="19" s="1"/>
  <c r="AX54" i="19" a="1"/>
  <c r="AX54" i="19" s="1"/>
  <c r="AX53" i="19" a="1"/>
  <c r="AX53" i="19" s="1"/>
  <c r="AX55" i="19" a="1"/>
  <c r="AX55" i="19" s="1"/>
  <c r="N25" i="14"/>
  <c r="XFD1048575" i="20" a="1"/>
  <c r="XFD1048575" i="20"/>
  <c r="XFD1048574" i="20" a="1"/>
  <c r="XFD1048574" i="20"/>
  <c r="XFD1048573" i="20" a="1"/>
  <c r="XFD1048573" i="20" s="1"/>
  <c r="XFD1048572" i="20" a="1"/>
  <c r="XFD1048572" i="20"/>
  <c r="XFD1048571" i="20" a="1"/>
  <c r="XFD1048571" i="20" s="1"/>
  <c r="XFD1048570" i="20" a="1"/>
  <c r="XFD1048570" i="20"/>
  <c r="XFD1048569" i="20" a="1"/>
  <c r="XFD1048569" i="20" s="1"/>
  <c r="XFD1048568" i="20" a="1"/>
  <c r="XFD1048568" i="20"/>
  <c r="XFD1048567" i="20" a="1"/>
  <c r="XFD1048567" i="20" s="1"/>
  <c r="XFD1048566" i="20" a="1"/>
  <c r="XFD1048566" i="20" s="1"/>
  <c r="XFD1048565" i="20" a="1"/>
  <c r="XFD1048565" i="20" s="1"/>
  <c r="XFD1048564" i="20" a="1"/>
  <c r="XFD1048564" i="20"/>
  <c r="XFD1048563" i="20" a="1"/>
  <c r="XFD1048563" i="20" s="1"/>
  <c r="XFD1048562" i="20" a="1"/>
  <c r="XFD1048562" i="20" s="1"/>
  <c r="XFD1048555" i="20" a="1"/>
  <c r="XFD1048555" i="20" s="1"/>
  <c r="J29" i="20" a="1"/>
  <c r="J29" i="20"/>
  <c r="J24" i="20" a="1"/>
  <c r="J24" i="20"/>
  <c r="J20" i="20" a="1"/>
  <c r="J20" i="20"/>
  <c r="XFD1048556" i="20"/>
  <c r="XFD1048557" i="20"/>
  <c r="XFD1048558" i="20"/>
  <c r="XFD1048559" i="20"/>
  <c r="XFD1048560" i="20"/>
  <c r="XFD1048561" i="20"/>
  <c r="XFD1048550" i="20"/>
  <c r="XFD1048551" i="20"/>
  <c r="XFD1048552" i="20"/>
  <c r="XFD1048553" i="20"/>
  <c r="XFD1048554" i="20"/>
  <c r="O59" i="20"/>
  <c r="Q59" i="20"/>
  <c r="O60" i="20"/>
  <c r="Q60" i="20"/>
  <c r="O61" i="20"/>
  <c r="Q61" i="20"/>
  <c r="O62" i="20"/>
  <c r="Q62" i="20"/>
  <c r="O63" i="20"/>
  <c r="Q63" i="20"/>
  <c r="O64" i="20"/>
  <c r="Q64" i="20"/>
  <c r="O65" i="20"/>
  <c r="Q65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I35" i="20"/>
  <c r="O39" i="20"/>
  <c r="O40" i="20"/>
  <c r="O41" i="20"/>
  <c r="O42" i="20"/>
  <c r="AW38" i="19"/>
  <c r="AW37" i="19"/>
  <c r="AW36" i="19"/>
  <c r="AW35" i="19"/>
  <c r="AW34" i="19"/>
  <c r="T50" i="14"/>
  <c r="AY34" i="19" a="1"/>
  <c r="AY34" i="19" s="1"/>
  <c r="AW29" i="19"/>
  <c r="AW21" i="19"/>
  <c r="AW20" i="19"/>
  <c r="AW19" i="19"/>
  <c r="AW18" i="19"/>
  <c r="AW17" i="19"/>
  <c r="AW16" i="19"/>
  <c r="AW15" i="19"/>
  <c r="AW14" i="19"/>
  <c r="AW13" i="19"/>
  <c r="AW12" i="19"/>
  <c r="AW11" i="19"/>
  <c r="AW10" i="19"/>
  <c r="AW7" i="19"/>
  <c r="AN11" i="19" a="1"/>
  <c r="AN11" i="19" s="1"/>
  <c r="J20" i="14" a="1"/>
  <c r="J20" i="14" s="1"/>
  <c r="K2" i="18" a="1"/>
  <c r="K2" i="18" s="1"/>
  <c r="I2" i="18" a="1"/>
  <c r="I2" i="18" s="1"/>
  <c r="T42" i="14"/>
  <c r="T41" i="14"/>
  <c r="T40" i="14"/>
  <c r="T39" i="14"/>
  <c r="T49" i="14"/>
  <c r="T48" i="14"/>
  <c r="T47" i="14"/>
  <c r="V39" i="14" a="1"/>
  <c r="V39" i="14"/>
  <c r="T22" i="14" a="1"/>
  <c r="T22" i="14" s="1"/>
  <c r="O39" i="14"/>
  <c r="J29" i="14" a="1"/>
  <c r="J29" i="14" s="1"/>
  <c r="T43" i="14"/>
  <c r="J24" i="14" a="1"/>
  <c r="J24" i="14" s="1"/>
  <c r="Q62" i="14"/>
  <c r="O62" i="14"/>
  <c r="O59" i="14"/>
  <c r="O45" i="14"/>
  <c r="Q59" i="14"/>
  <c r="O42" i="14"/>
  <c r="O41" i="14"/>
  <c r="O40" i="14"/>
  <c r="O64" i="14"/>
  <c r="O63" i="14"/>
  <c r="O65" i="14"/>
  <c r="Q65" i="14"/>
  <c r="O60" i="14"/>
  <c r="AJ46" i="24" l="1" a="1"/>
  <c r="AJ46" i="24" s="1"/>
  <c r="AJ53" i="24" a="1"/>
  <c r="AJ53" i="24" s="1"/>
  <c r="AJ60" i="24" a="1"/>
  <c r="AJ60" i="24" s="1"/>
  <c r="AJ29" i="24" a="1"/>
  <c r="AJ29" i="24" s="1"/>
  <c r="B5" i="24"/>
  <c r="BC60" i="24" a="1"/>
  <c r="BC60" i="24" s="1"/>
  <c r="BC4" i="24" a="1"/>
  <c r="BC4" i="24" s="1"/>
  <c r="AJ50" i="24" a="1"/>
  <c r="AJ50" i="24" s="1"/>
  <c r="AJ32" i="24" a="1"/>
  <c r="AJ32" i="24" s="1"/>
  <c r="BC60" i="17" a="1"/>
  <c r="BC60" i="17" s="1"/>
  <c r="BC8" i="17" a="1"/>
  <c r="BC8" i="17" s="1"/>
  <c r="BC46" i="17" a="1"/>
  <c r="BC46" i="17" s="1"/>
  <c r="BC4" i="17" a="1"/>
  <c r="BC4" i="17" s="1"/>
  <c r="AJ29" i="23" a="1"/>
  <c r="AJ29" i="23" s="1"/>
  <c r="AJ32" i="23" a="1"/>
  <c r="AJ32" i="23" s="1"/>
  <c r="AJ46" i="23" a="1"/>
  <c r="AJ46" i="23" s="1"/>
  <c r="B5" i="23"/>
  <c r="BC39" i="23" a="1"/>
  <c r="BC39" i="23" s="1"/>
  <c r="AJ53" i="23" a="1"/>
  <c r="AJ53" i="23" s="1"/>
  <c r="AJ60" i="23" a="1"/>
  <c r="AJ60" i="23" s="1"/>
  <c r="BC29" i="23" a="1"/>
  <c r="BC29" i="23" s="1"/>
  <c r="BC46" i="23" a="1"/>
  <c r="BC46" i="23" s="1"/>
  <c r="AJ39" i="23" a="1"/>
  <c r="AJ39" i="23" s="1"/>
  <c r="BC60" i="23" a="1"/>
  <c r="BC60" i="23" s="1"/>
  <c r="BC46" i="19" a="1"/>
  <c r="BC46" i="19" s="1"/>
  <c r="BC4" i="19" a="1"/>
  <c r="BC4" i="19" s="1"/>
  <c r="BC39" i="19" a="1"/>
  <c r="BC39" i="19" s="1"/>
  <c r="BC8" i="19" a="1"/>
  <c r="BC8" i="19" s="1"/>
  <c r="BC50" i="19" a="1"/>
  <c r="BC50" i="19" s="1"/>
  <c r="AJ8" i="17" a="1"/>
  <c r="AJ8" i="17" s="1"/>
  <c r="AW50" i="17" s="1"/>
  <c r="AJ8" i="19" a="1"/>
  <c r="AJ8" i="19" s="1"/>
  <c r="AJ32" i="19" a="1"/>
  <c r="AJ32" i="19" s="1"/>
  <c r="AJ29" i="19" a="1"/>
  <c r="AJ29" i="19" s="1"/>
  <c r="AJ46" i="19" a="1"/>
  <c r="AJ46" i="19" s="1"/>
  <c r="AJ53" i="19" a="1"/>
  <c r="AJ53" i="19" s="1"/>
  <c r="AJ11" i="19" a="1"/>
  <c r="AJ11" i="19" s="1"/>
  <c r="Q60" i="14"/>
  <c r="O61" i="14"/>
  <c r="Q61" i="14"/>
  <c r="Q63" i="14"/>
  <c r="Q64" i="14"/>
  <c r="O46" i="14"/>
  <c r="O47" i="14"/>
  <c r="O48" i="14"/>
  <c r="O49" i="14"/>
  <c r="O50" i="14"/>
  <c r="O51" i="14"/>
  <c r="O52" i="14"/>
  <c r="O53" i="14"/>
  <c r="O54" i="14"/>
  <c r="O55" i="14"/>
  <c r="O56" i="14"/>
  <c r="BB66" i="24" l="1"/>
  <c r="AJ18" i="24" a="1"/>
  <c r="AJ18" i="24" s="1"/>
  <c r="AJ8" i="24" a="1"/>
  <c r="AJ8" i="24" s="1"/>
  <c r="AJ11" i="24" a="1"/>
  <c r="AJ11" i="24" s="1"/>
  <c r="AJ4" i="24" a="1"/>
  <c r="AJ4" i="24" s="1"/>
  <c r="BB66" i="17"/>
  <c r="BB66" i="23"/>
  <c r="AJ18" i="23" a="1"/>
  <c r="AJ18" i="23" s="1"/>
  <c r="AJ8" i="23" a="1"/>
  <c r="AJ8" i="23" s="1"/>
  <c r="AJ11" i="23" a="1"/>
  <c r="AJ11" i="23" s="1"/>
  <c r="AJ4" i="23" a="1"/>
  <c r="AJ4" i="23" s="1"/>
  <c r="BB66" i="19"/>
  <c r="AJ18" i="19" a="1"/>
  <c r="AJ18" i="19" s="1"/>
  <c r="AW50" i="19" s="1"/>
  <c r="AW50" i="23" l="1"/>
  <c r="AW50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<sst xmlns="http://schemas.openxmlformats.org/spreadsheetml/2006/main" count="5377" uniqueCount="193">
  <si>
    <t>Air</t>
  </si>
  <si>
    <t>Sea</t>
  </si>
  <si>
    <t>Capacity</t>
  </si>
  <si>
    <t>Demand</t>
  </si>
  <si>
    <t>CO2-Emissions</t>
  </si>
  <si>
    <t>Transportation Cost</t>
  </si>
  <si>
    <t>Cost per Unit</t>
  </si>
  <si>
    <t>Decision</t>
  </si>
  <si>
    <t>ATVIE</t>
  </si>
  <si>
    <t>PLGDN</t>
  </si>
  <si>
    <t>FRCDG</t>
  </si>
  <si>
    <t>Weight per Unit</t>
  </si>
  <si>
    <t>TW</t>
  </si>
  <si>
    <t>Manufacturers:</t>
  </si>
  <si>
    <t>SHA</t>
  </si>
  <si>
    <t>Location</t>
  </si>
  <si>
    <t>Sourcing Cost</t>
  </si>
  <si>
    <t>Lattitude</t>
  </si>
  <si>
    <t>Longitude</t>
  </si>
  <si>
    <t>PED</t>
  </si>
  <si>
    <t>FR6216</t>
  </si>
  <si>
    <t>RIX</t>
  </si>
  <si>
    <t>GMZ</t>
  </si>
  <si>
    <t>Cross Docks:</t>
  </si>
  <si>
    <t>Handling Cost</t>
  </si>
  <si>
    <t>FFSVQ</t>
  </si>
  <si>
    <t>VWDRE</t>
  </si>
  <si>
    <t>TWKZB</t>
  </si>
  <si>
    <t>FLDNI</t>
  </si>
  <si>
    <t>XGUTS</t>
  </si>
  <si>
    <t>FLXXC</t>
  </si>
  <si>
    <t>ALKFM</t>
  </si>
  <si>
    <t>KSJER</t>
  </si>
  <si>
    <t>GXEQH</t>
  </si>
  <si>
    <t>OAHLE</t>
  </si>
  <si>
    <t>ISNQE</t>
  </si>
  <si>
    <t>NAAVF</t>
  </si>
  <si>
    <t>Distribution Centers:</t>
  </si>
  <si>
    <t>Overall Capacity:</t>
  </si>
  <si>
    <t>Cost</t>
  </si>
  <si>
    <t>Retailers:</t>
  </si>
  <si>
    <t>Total Cost:</t>
  </si>
  <si>
    <t>Constraints:</t>
  </si>
  <si>
    <t>Capacity:</t>
  </si>
  <si>
    <t>&lt;=</t>
  </si>
  <si>
    <t>Distances</t>
  </si>
  <si>
    <t>Demand:</t>
  </si>
  <si>
    <t>=</t>
  </si>
  <si>
    <t>Flow:</t>
  </si>
  <si>
    <t>Open</t>
  </si>
  <si>
    <t>OpeningCost</t>
  </si>
  <si>
    <t>VariableCost</t>
  </si>
  <si>
    <t>OperatingCost</t>
  </si>
  <si>
    <t>CZMCT</t>
  </si>
  <si>
    <t>HUDTG</t>
  </si>
  <si>
    <t>IEILG</t>
  </si>
  <si>
    <t>FIMPF</t>
  </si>
  <si>
    <t>PLZCA</t>
  </si>
  <si>
    <t>Fix Cost</t>
  </si>
  <si>
    <t>Potential Opening</t>
  </si>
  <si>
    <t>Capacity Optional Sources:</t>
  </si>
  <si>
    <t>Choice Optional Sources (M = 240'000):</t>
  </si>
  <si>
    <t>Distance (km)</t>
  </si>
  <si>
    <t>Road</t>
  </si>
  <si>
    <t>CO2</t>
  </si>
  <si>
    <t>Transportation Cost per kg/km</t>
  </si>
  <si>
    <t>Slowness Cost per unit/km</t>
  </si>
  <si>
    <t>Total Cost per unit / km</t>
  </si>
  <si>
    <t>CO2 Emissions:</t>
  </si>
  <si>
    <t>Air:</t>
  </si>
  <si>
    <t>Road:</t>
  </si>
  <si>
    <t>Sea:</t>
  </si>
  <si>
    <t>Total CO2:</t>
  </si>
  <si>
    <t>manufacturer</t>
  </si>
  <si>
    <t>cross dock</t>
  </si>
  <si>
    <t>Car:</t>
  </si>
  <si>
    <t>distribution</t>
  </si>
  <si>
    <t>optional source</t>
  </si>
  <si>
    <t>retailer</t>
  </si>
  <si>
    <t>Inf</t>
  </si>
  <si>
    <t>Manufacturer</t>
  </si>
  <si>
    <t>Cross Dock</t>
  </si>
  <si>
    <t>Distribution</t>
  </si>
  <si>
    <t>Retailer</t>
  </si>
  <si>
    <t>Prague</t>
  </si>
  <si>
    <t>OptionalSource</t>
  </si>
  <si>
    <t>Budapest</t>
  </si>
  <si>
    <t>Dublin</t>
  </si>
  <si>
    <t>Helsinki</t>
  </si>
  <si>
    <t>Warsaw</t>
  </si>
  <si>
    <t>ID</t>
  </si>
  <si>
    <t>Latitude</t>
  </si>
  <si>
    <t>Costs per Unit</t>
  </si>
  <si>
    <t>Type</t>
  </si>
  <si>
    <t>City</t>
  </si>
  <si>
    <t>Country</t>
  </si>
  <si>
    <t>Units Scenario 1</t>
  </si>
  <si>
    <t>Costs Scenario 1</t>
  </si>
  <si>
    <t>Units Scenario 2</t>
  </si>
  <si>
    <t>Costs Scenario 2</t>
  </si>
  <si>
    <t>Units Scenario 3</t>
  </si>
  <si>
    <t>Costs Scenario 3</t>
  </si>
  <si>
    <t>Taipei</t>
  </si>
  <si>
    <t>Taiwan</t>
  </si>
  <si>
    <t>Shanghai</t>
  </si>
  <si>
    <t>China</t>
  </si>
  <si>
    <t>Vienna</t>
  </si>
  <si>
    <t>Austria</t>
  </si>
  <si>
    <t>Gdansk</t>
  </si>
  <si>
    <t>Poland</t>
  </si>
  <si>
    <t>Paris Charles-de-Gaulle Airport</t>
  </si>
  <si>
    <t>France</t>
  </si>
  <si>
    <t>Pardubice</t>
  </si>
  <si>
    <t>Czechia</t>
  </si>
  <si>
    <t>Fresnes-les-Montauban</t>
  </si>
  <si>
    <t>Riga</t>
  </si>
  <si>
    <t>Lettland</t>
  </si>
  <si>
    <t>Athens</t>
  </si>
  <si>
    <t>Greece</t>
  </si>
  <si>
    <t>Janze</t>
  </si>
  <si>
    <t>Karpathos</t>
  </si>
  <si>
    <t>Cherves-de-Cognac</t>
  </si>
  <si>
    <t>Ismaning</t>
  </si>
  <si>
    <t>Germany</t>
  </si>
  <si>
    <t>Dinton</t>
  </si>
  <si>
    <t>United Kingdom</t>
  </si>
  <si>
    <t>Coulommiers</t>
  </si>
  <si>
    <t>Ahrensburg</t>
  </si>
  <si>
    <t>Kaunas</t>
  </si>
  <si>
    <t>Lithuania</t>
  </si>
  <si>
    <t>Albergaria-a-Vela</t>
  </si>
  <si>
    <t>Portugal</t>
  </si>
  <si>
    <t>Vialonga</t>
  </si>
  <si>
    <t>Pihtipudas</t>
  </si>
  <si>
    <t>Finland</t>
  </si>
  <si>
    <t>Hungary</t>
  </si>
  <si>
    <t>Ireland</t>
  </si>
  <si>
    <t>Origin</t>
  </si>
  <si>
    <t>Destination</t>
  </si>
  <si>
    <t>Distance Air</t>
  </si>
  <si>
    <t>Distance Sea</t>
  </si>
  <si>
    <t>Distance Road</t>
  </si>
  <si>
    <t>Distances:</t>
  </si>
  <si>
    <t>Attribute</t>
  </si>
  <si>
    <t>Role</t>
  </si>
  <si>
    <t>Size</t>
  </si>
  <si>
    <t>Position</t>
  </si>
  <si>
    <t>Product</t>
  </si>
  <si>
    <t>TimeBucketFirst</t>
  </si>
  <si>
    <t>TimeBucketEnd</t>
  </si>
  <si>
    <t>Value</t>
  </si>
  <si>
    <t>Sourcing cost</t>
  </si>
  <si>
    <t>Source</t>
  </si>
  <si>
    <t>standard</t>
  </si>
  <si>
    <t>LinearCost</t>
  </si>
  <si>
    <t>New Taipei City</t>
  </si>
  <si>
    <t>Raw data, Optional source locations</t>
  </si>
  <si>
    <t>Handling cost</t>
  </si>
  <si>
    <t>CrossDock</t>
  </si>
  <si>
    <t>Vienna Airport</t>
  </si>
  <si>
    <t>BinaryCost</t>
  </si>
  <si>
    <t>Paris Charles de Gaulle Airport</t>
  </si>
  <si>
    <t>Distribution Center</t>
  </si>
  <si>
    <t>Distribution center</t>
  </si>
  <si>
    <t>OverallCapacity</t>
  </si>
  <si>
    <t>Variable cost</t>
  </si>
  <si>
    <t>BackorderCost</t>
  </si>
  <si>
    <t>LocationID</t>
  </si>
  <si>
    <t>MainRole</t>
  </si>
  <si>
    <t>Choice Optional Sources (M = 60'000):</t>
  </si>
  <si>
    <t>Units Scenario 3 Air</t>
  </si>
  <si>
    <t>Units Scenario 3 Road</t>
  </si>
  <si>
    <t>Units Scenario 3 Sea</t>
  </si>
  <si>
    <t>Units Scenario 4 Air</t>
  </si>
  <si>
    <t>Units Scenario 4 Road</t>
  </si>
  <si>
    <t>Units Scenario 4 Sea</t>
  </si>
  <si>
    <t>Units Scenario 4</t>
  </si>
  <si>
    <t>Costs Scenario 4</t>
  </si>
  <si>
    <t>Units per Ton</t>
  </si>
  <si>
    <t>Units per Ton:</t>
  </si>
  <si>
    <t>Units Scenario 5 Air</t>
  </si>
  <si>
    <t>Units Scenario 5 Road</t>
  </si>
  <si>
    <t>Units Scenario 5 Sea</t>
  </si>
  <si>
    <t>Units Scenario 6 Air</t>
  </si>
  <si>
    <t>Units Scenario 6 Road</t>
  </si>
  <si>
    <t>Units Scenario 6 Sea</t>
  </si>
  <si>
    <t>Units Scenario 5</t>
  </si>
  <si>
    <t>Costs Scenario 5</t>
  </si>
  <si>
    <t>Units Scenario 6</t>
  </si>
  <si>
    <t>Costs Scenario 6</t>
  </si>
  <si>
    <t xml:space="preserve">opt </t>
  </si>
  <si>
    <t>Scenario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</si>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</sst>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scheme val="minor"/>
    </font>
    <font>
      <i/>
      <sz val="12"/>
      <color rgb="FFD19651"/>
      <name val="Calibri"/>
      <family val="2"/>
      <scheme val="minor"/>
    </font>
    <font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4" fillId="5" borderId="0" xfId="0" applyFont="1" applyFill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4" fillId="8" borderId="0" xfId="0" applyFont="1" applyFill="1"/>
    <xf numFmtId="0" fontId="4" fillId="9" borderId="0" xfId="0" applyFont="1" applyFill="1"/>
    <xf numFmtId="0" fontId="3" fillId="10" borderId="0" xfId="0" applyFont="1" applyFill="1"/>
    <xf numFmtId="0" fontId="0" fillId="11" borderId="0" xfId="0" applyFill="1"/>
    <xf numFmtId="0" fontId="6" fillId="0" borderId="0" xfId="0" applyFont="1"/>
    <xf numFmtId="0" fontId="6" fillId="12" borderId="0" xfId="0" applyFont="1" applyFill="1"/>
    <xf numFmtId="3" fontId="6" fillId="12" borderId="0" xfId="0" applyNumberFormat="1" applyFont="1" applyFill="1"/>
    <xf numFmtId="0" fontId="0" fillId="13" borderId="0" xfId="0" applyFill="1"/>
    <xf numFmtId="0" fontId="7" fillId="0" borderId="0" xfId="0" applyFont="1"/>
    <xf numFmtId="0" fontId="0" fillId="14" borderId="0" xfId="0" applyFill="1"/>
    <xf numFmtId="0" fontId="0" fillId="15" borderId="0" xfId="0" applyFill="1"/>
    <xf numFmtId="0" fontId="2" fillId="15" borderId="0" xfId="0" applyFont="1" applyFill="1"/>
    <xf numFmtId="0" fontId="8" fillId="0" borderId="0" xfId="0" applyFont="1"/>
    <xf numFmtId="0" fontId="3" fillId="2" borderId="0" xfId="0" applyFont="1" applyFill="1"/>
    <xf numFmtId="0" fontId="0" fillId="16" borderId="0" xfId="0" applyFill="1"/>
    <xf numFmtId="0" fontId="3" fillId="3" borderId="0" xfId="0" applyFont="1" applyFill="1"/>
    <xf numFmtId="0" fontId="3" fillId="6" borderId="0" xfId="0" applyFont="1" applyFill="1"/>
    <xf numFmtId="0" fontId="0" fillId="0" borderId="0" xfId="0" quotePrefix="1"/>
    <xf numFmtId="11" fontId="0" fillId="0" borderId="0" xfId="0" applyNumberFormat="1"/>
    <xf numFmtId="11" fontId="3" fillId="0" borderId="0" xfId="0" applyNumberFormat="1" applyFont="1"/>
    <xf numFmtId="0" fontId="0" fillId="17" borderId="0" xfId="0" applyFill="1"/>
    <xf numFmtId="11" fontId="3" fillId="10" borderId="0" xfId="0" applyNumberFormat="1" applyFont="1" applyFill="1"/>
    <xf numFmtId="0" fontId="9" fillId="0" borderId="0" xfId="0" applyFont="1"/>
    <xf numFmtId="0" fontId="10" fillId="18" borderId="0" xfId="0" applyFont="1" applyFill="1"/>
    <xf numFmtId="1" fontId="0" fillId="0" borderId="0" xfId="0" applyNumberFormat="1"/>
    <xf numFmtId="0" fontId="10" fillId="6" borderId="0" xfId="0" applyFont="1" applyFill="1"/>
    <xf numFmtId="0" fontId="4" fillId="2" borderId="0" xfId="0" applyFont="1" applyFill="1"/>
    <xf numFmtId="0" fontId="10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19651"/>
      <color rgb="FF413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3.xml"/><Relationship Id="rId7" Type="http://schemas.openxmlformats.org/officeDocument/2006/relationships/customXml" Target="../ink/ink7.xml"/><Relationship Id="rId2" Type="http://schemas.openxmlformats.org/officeDocument/2006/relationships/image" Target="../media/image13.png"/><Relationship Id="rId1" Type="http://schemas.openxmlformats.org/officeDocument/2006/relationships/customXml" Target="../ink/ink2.xml"/><Relationship Id="rId6" Type="http://schemas.openxmlformats.org/officeDocument/2006/relationships/customXml" Target="../ink/ink6.xml"/><Relationship Id="rId5" Type="http://schemas.openxmlformats.org/officeDocument/2006/relationships/customXml" Target="../ink/ink5.xml"/><Relationship Id="rId4" Type="http://schemas.openxmlformats.org/officeDocument/2006/relationships/customXml" Target="../ink/ink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13.png"/><Relationship Id="rId1" Type="http://schemas.openxmlformats.org/officeDocument/2006/relationships/customXml" Target="../ink/ink8.xml"/><Relationship Id="rId4" Type="http://schemas.openxmlformats.org/officeDocument/2006/relationships/customXml" Target="../ink/ink1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ustomXml" Target="../ink/ink17.xml"/><Relationship Id="rId3" Type="http://schemas.openxmlformats.org/officeDocument/2006/relationships/customXml" Target="../ink/ink12.xml"/><Relationship Id="rId7" Type="http://schemas.openxmlformats.org/officeDocument/2006/relationships/customXml" Target="../ink/ink16.xml"/><Relationship Id="rId2" Type="http://schemas.openxmlformats.org/officeDocument/2006/relationships/image" Target="../media/image13.png"/><Relationship Id="rId1" Type="http://schemas.openxmlformats.org/officeDocument/2006/relationships/customXml" Target="../ink/ink11.xml"/><Relationship Id="rId6" Type="http://schemas.openxmlformats.org/officeDocument/2006/relationships/customXml" Target="../ink/ink15.xml"/><Relationship Id="rId11" Type="http://schemas.openxmlformats.org/officeDocument/2006/relationships/customXml" Target="../ink/ink19.xml"/><Relationship Id="rId5" Type="http://schemas.openxmlformats.org/officeDocument/2006/relationships/customXml" Target="../ink/ink14.xml"/><Relationship Id="rId10" Type="http://schemas.openxmlformats.org/officeDocument/2006/relationships/customXml" Target="../ink/ink18.xml"/><Relationship Id="rId4" Type="http://schemas.openxmlformats.org/officeDocument/2006/relationships/customXml" Target="../ink/ink13.xml"/><Relationship Id="rId9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ustomXml" Target="../ink/ink21.xml"/><Relationship Id="rId2" Type="http://schemas.openxmlformats.org/officeDocument/2006/relationships/image" Target="../media/image13.png"/><Relationship Id="rId1" Type="http://schemas.openxmlformats.org/officeDocument/2006/relationships/customXml" Target="../ink/ink20.xml"/><Relationship Id="rId4" Type="http://schemas.openxmlformats.org/officeDocument/2006/relationships/customXml" Target="../ink/ink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792840</xdr:colOff>
      <xdr:row>46</xdr:row>
      <xdr:rowOff>128000</xdr:rowOff>
    </xdr:from>
    <xdr:to>
      <xdr:col>8</xdr:col>
      <xdr:colOff>793200</xdr:colOff>
      <xdr:row>46</xdr:row>
      <xdr:rowOff>128360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792840</xdr:colOff>
      <xdr:row>48</xdr:row>
      <xdr:rowOff>0</xdr:rowOff>
    </xdr:from>
    <xdr:to>
      <xdr:col>8</xdr:col>
      <xdr:colOff>793200</xdr:colOff>
      <xdr:row>48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1">
              <a:extLst>
                <a:ext uri="{FF2B5EF4-FFF2-40B4-BE49-F238E27FC236}">
                  <a16:creationId xmlns:a16="http://schemas.microsoft.com/office/drawing/2014/main" id="{E50FE1B1-9B09-0044-A463-CC4203ED999B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15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1">
              <a:extLst>
                <a:ext uri="{FF2B5EF4-FFF2-40B4-BE49-F238E27FC236}">
                  <a16:creationId xmlns:a16="http://schemas.microsoft.com/office/drawing/2014/main" id="{CA1D33AD-0106-5845-A2DC-156181EC3FA6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7" name="Ink 1">
              <a:extLst>
                <a:ext uri="{FF2B5EF4-FFF2-40B4-BE49-F238E27FC236}">
                  <a16:creationId xmlns:a16="http://schemas.microsoft.com/office/drawing/2014/main" id="{AF1379B8-FFC9-F246-BF92-BE273305608F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8</xdr:col>
      <xdr:colOff>792840</xdr:colOff>
      <xdr:row>48</xdr:row>
      <xdr:rowOff>0</xdr:rowOff>
    </xdr:from>
    <xdr:to>
      <xdr:col>8</xdr:col>
      <xdr:colOff>793200</xdr:colOff>
      <xdr:row>48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Ink 1">
              <a:extLst>
                <a:ext uri="{FF2B5EF4-FFF2-40B4-BE49-F238E27FC236}">
                  <a16:creationId xmlns:a16="http://schemas.microsoft.com/office/drawing/2014/main" id="{F3E3AF30-EEDF-5B40-AFDD-302FA24042EA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15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9" name="Ink 1">
              <a:extLst>
                <a:ext uri="{FF2B5EF4-FFF2-40B4-BE49-F238E27FC236}">
                  <a16:creationId xmlns:a16="http://schemas.microsoft.com/office/drawing/2014/main" id="{EF46D0CA-E590-6C43-9CCF-4EEF5217BD63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0" name="Ink 1">
              <a:extLst>
                <a:ext uri="{FF2B5EF4-FFF2-40B4-BE49-F238E27FC236}">
                  <a16:creationId xmlns:a16="http://schemas.microsoft.com/office/drawing/2014/main" id="{2E0865EA-6487-1443-9CB3-926D8F68A3D0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792840</xdr:colOff>
      <xdr:row>48</xdr:row>
      <xdr:rowOff>0</xdr:rowOff>
    </xdr:from>
    <xdr:to>
      <xdr:col>8</xdr:col>
      <xdr:colOff>793200</xdr:colOff>
      <xdr:row>48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F71E8E9-46AB-F94C-BD95-EBCB05869EE9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15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1">
              <a:extLst>
                <a:ext uri="{FF2B5EF4-FFF2-40B4-BE49-F238E27FC236}">
                  <a16:creationId xmlns:a16="http://schemas.microsoft.com/office/drawing/2014/main" id="{A1F15B49-8530-B64A-9995-06D13590CA91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Ink 1">
              <a:extLst>
                <a:ext uri="{FF2B5EF4-FFF2-40B4-BE49-F238E27FC236}">
                  <a16:creationId xmlns:a16="http://schemas.microsoft.com/office/drawing/2014/main" id="{EAFC9832-D0E0-9647-9C3B-24EB351CD64D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792840</xdr:colOff>
      <xdr:row>48</xdr:row>
      <xdr:rowOff>0</xdr:rowOff>
    </xdr:from>
    <xdr:to>
      <xdr:col>8</xdr:col>
      <xdr:colOff>793200</xdr:colOff>
      <xdr:row>48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2F11668-BE29-0B4B-8D2F-F0115BBFDC2F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15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1">
              <a:extLst>
                <a:ext uri="{FF2B5EF4-FFF2-40B4-BE49-F238E27FC236}">
                  <a16:creationId xmlns:a16="http://schemas.microsoft.com/office/drawing/2014/main" id="{8C4351E0-200C-1447-8FF4-72909371FD88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1">
              <a:extLst>
                <a:ext uri="{FF2B5EF4-FFF2-40B4-BE49-F238E27FC236}">
                  <a16:creationId xmlns:a16="http://schemas.microsoft.com/office/drawing/2014/main" id="{4E9AA5CC-190E-0F46-929B-34D2FF448538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8</xdr:col>
      <xdr:colOff>792840</xdr:colOff>
      <xdr:row>48</xdr:row>
      <xdr:rowOff>0</xdr:rowOff>
    </xdr:from>
    <xdr:to>
      <xdr:col>8</xdr:col>
      <xdr:colOff>793200</xdr:colOff>
      <xdr:row>48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1">
              <a:extLst>
                <a:ext uri="{FF2B5EF4-FFF2-40B4-BE49-F238E27FC236}">
                  <a16:creationId xmlns:a16="http://schemas.microsoft.com/office/drawing/2014/main" id="{E6DC9BAC-BBBF-4942-8DE9-C9796709FAA7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15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1">
              <a:extLst>
                <a:ext uri="{FF2B5EF4-FFF2-40B4-BE49-F238E27FC236}">
                  <a16:creationId xmlns:a16="http://schemas.microsoft.com/office/drawing/2014/main" id="{C6B92825-7302-6949-A725-CA579D4307A7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1">
              <a:extLst>
                <a:ext uri="{FF2B5EF4-FFF2-40B4-BE49-F238E27FC236}">
                  <a16:creationId xmlns:a16="http://schemas.microsoft.com/office/drawing/2014/main" id="{3CDA3EA7-7830-7F42-A5CB-8E9CE56B2B50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8</xdr:col>
      <xdr:colOff>792840</xdr:colOff>
      <xdr:row>48</xdr:row>
      <xdr:rowOff>0</xdr:rowOff>
    </xdr:from>
    <xdr:to>
      <xdr:col>8</xdr:col>
      <xdr:colOff>793200</xdr:colOff>
      <xdr:row>48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1">
              <a:extLst>
                <a:ext uri="{FF2B5EF4-FFF2-40B4-BE49-F238E27FC236}">
                  <a16:creationId xmlns:a16="http://schemas.microsoft.com/office/drawing/2014/main" id="{7BFFE9A7-78EE-D540-9DDB-0C027E62B066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15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Ink 1">
              <a:extLst>
                <a:ext uri="{FF2B5EF4-FFF2-40B4-BE49-F238E27FC236}">
                  <a16:creationId xmlns:a16="http://schemas.microsoft.com/office/drawing/2014/main" id="{1D7F4855-4AE0-BF45-A236-C1DA1D532C8D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Ink 1">
              <a:extLst>
                <a:ext uri="{FF2B5EF4-FFF2-40B4-BE49-F238E27FC236}">
                  <a16:creationId xmlns:a16="http://schemas.microsoft.com/office/drawing/2014/main" id="{BE2267E4-476A-964D-9160-730F3A8B7907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792840</xdr:colOff>
      <xdr:row>48</xdr:row>
      <xdr:rowOff>0</xdr:rowOff>
    </xdr:from>
    <xdr:to>
      <xdr:col>8</xdr:col>
      <xdr:colOff>793200</xdr:colOff>
      <xdr:row>48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CE8C5FB-7C35-A84F-AAEE-E8AB99685C6A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15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1">
              <a:extLst>
                <a:ext uri="{FF2B5EF4-FFF2-40B4-BE49-F238E27FC236}">
                  <a16:creationId xmlns:a16="http://schemas.microsoft.com/office/drawing/2014/main" id="{735F97B2-84DC-644E-B690-B9FC6CE3D593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792840</xdr:colOff>
      <xdr:row>7</xdr:row>
      <xdr:rowOff>128000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1">
              <a:extLst>
                <a:ext uri="{FF2B5EF4-FFF2-40B4-BE49-F238E27FC236}">
                  <a16:creationId xmlns:a16="http://schemas.microsoft.com/office/drawing/2014/main" id="{F3647A91-B8EB-834C-B571-9F1CDC46D016}"/>
                </a:ext>
              </a:extLst>
            </xdr14:cNvPr>
            <xdr14:cNvContentPartPr/>
          </xdr14:nvContentPartPr>
          <xdr14:nvPr macro=""/>
          <xdr14:xfrm>
            <a:off x="7498440" y="9475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B247CB9-1EB0-19CB-0514-A5DE27607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92320" y="9469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9T12:04:39.23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17:04:30.16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17:04:30.16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17:04:30.16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17:05:07.91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17:05:07.91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17:05:07.91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09:15:24.61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09:23:16.45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09:23:53.90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21:24:12.63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21:24:12.64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21:24:12.64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21:24:12.64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21:24:12.64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21:24:12.64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23:03:59.63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23:03:59.64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23:03:59.64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21:07:01.94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21:07:01.94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02T21:07:01.94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1784B5F-61DC-4412-AB93-CDB64EAFC7AA}">
  <we:reference id="wa104100404" version="3.0.0.1" store="en-GB" storeType="OMEX"/>
  <we:alternateReferences>
    <we:reference id="WA104100404" version="3.0.0.1" store="" storeType="OMEX"/>
  </we:alternateReferences>
  <we:properties>
    <we:property name="UniqueID" value="&quot;20241121733157291712&quot;"/>
    <we:property name="ZiIjJws9Jhp6c0kbNyNGH0ceICwL" value="&quot;BW92eVp/f0Q=&quot;"/>
    <we:property name="ZiIjJws9Jhp6c0kbNyNGH0ceISga" value="&quot;BW92eVp/f0Q=&quot;"/>
    <we:property name="ZiIjJws9Jhp6c0kbNyNGH0ceIycN" value="&quot;eRE=&quot;"/>
    <we:property name="ZiIjJws9Jhp6c0kbNyNGH0ceJT8N" value="&quot;BW92eVp+&quot;"/>
    <we:property name="ZiIjJws9Jhp6c0kbNyNGH0ceJyoJ" value="&quot;BW92eVs=&quot;"/>
    <we:property name="ZiIjJws9Jhp6c0kbNyNGH0ceJzsZ" value="&quot;BA==&quot;"/>
    <we:property name="ZiIjJws9Jhp6c0kbNyNGH0ceKCwN" value="&quot;BA==&quot;"/>
    <we:property name="ZiIjJws9Jhp6c0kbNyNGH0ceKD0Y" value="&quot;Bw==&quot;"/>
    <we:property name="ZiIjJws9Jhp6c0kbNyNGH0ceKjka" value="&quot;BQ==&quot;"/>
    <we:property name="ZiIjJws9Jhp6c0kbNyNGH0ceKjke" value="&quot;BQ==&quot;"/>
    <we:property name="ZiIjJws9Jhp6c0kbNyNGH0ceKycD" value="&quot;BnE=&quot;"/>
    <we:property name="ZiIjJws9Jhp6c0kbNyNGH0ceKywe" value="&quot;Bw==&quot;"/>
    <we:property name="ZiIjJws9Jhp6c0kbNyNGH0ceKzoG" value="&quot;BQ==&quot;"/>
    <we:property name="ZiIjJws9Jhp6c0kbNyNGH0ceKzse" value="&quot;BW92fl8=&quot;"/>
    <we:property name="ZiIjJws9Jhp6c0kbNyNGH0ceLzkD" value="&quot;BA==&quot;"/>
    <we:property name="ZiIjJws9Jhp6c0kbNyNGH0ceLzkO" value="&quot;Bg==&quot;"/>
    <we:property name="ZiIjJws9Jhp6c0kbNyNGH0ceLzkZ" value="&quot;BW9/cA==&quot;"/>
    <we:property name="ZiIjJws9Jhp6c0kbNyNGH0ceMiYG" value="&quot;BW92eVp+&quot;"/>
    <we:property name="ZiIjJws9Jhp6c0kbNyNGH0ceNCUS" value="&quot;BA==&quot;"/>
    <we:property name="ZiIjJws9Jhp6c0kbNyNGH0ceNCsc" value="&quot;BA==&quot;"/>
    <we:property name="ZiIjJws9Jhp6c0kbNyNGH0ceNCwZ" value="&quot;AA==&quot;"/>
    <we:property name="ZiIjJws9Jhp6c0kbNyNGH0ceNDoO" value="&quot;BQ==&quot;"/>
    <we:property name="ZiIjJws9Jhp6c0kbNyNGH0ceNSYJ" value="&quot;BQ==&quot;"/>
    <we:property name="ZiIjJws9Jhp6c0kbNyNGH0ceNSoG" value="&quot;BA==&quot;"/>
    <we:property name="ZiIjJws9Jhp6c0kbNyNGH0ceNT0L" value="&quot;BQ==&quot;"/>
    <we:property name="ZiIjJws9Jhp6c0kbNyNGH0ceNToQ" value="&quot;BHF2&quot;"/>
    <we:property name="ZiIjJws9Jhp6c0kbNyNGH0ceNjsP" value="&quot;BW92eVp/f0Q=&quot;"/>
    <we:property name="ZiIjJws9Jhp6c0klOTd9E1s=" value="&quot;Bw==&quot;"/>
    <we:property name="ZiIjJws9Jhp6c0knOiU=" value="&quot;EQARbV9/&quot;"/>
    <we:property name="ZiIjJws9Jhp6c0k+OT1ZG1ctIzo=" value="&quot;ERdifVBrF1Fv&quot;"/>
    <we:property name="ZiIjJws9Jhp6c0k+OT1ZG1ctIzpb" value="&quot;ERdicVBrFlFrcg==&quot;"/>
    <we:property name="ZiIjJws9Jhp6c0k+OT1ZG1ctIzpY" value="&quot;ERdieFJ1azQdY1pZ&quot;"/>
    <we:property name="ZiIjJws9Jhp6c0k+OT1ZG1ctIzpZ" value="&quot;ERdie1N1ayx+dF4=&quot;"/>
    <we:property name="ZiIjJws9Jhp6c0k+OT1ZG1ctIzpe" value="&quot;ERdielN1azQdY1xa&quot;"/>
    <we:property name="ZiIjJws9Jhp6c0k+OT1ZG1ctIzpf" value="&quot;ERdifVx1ay1+c18=&quot;"/>
    <we:property name="ZiIjJws9Jhp6c0k+OT1ZG1ctIzpc" value="&quot;ERdifFp1ayx+cl8=&quot;"/>
  </we:properties>
  <we:bindings>
    <we:binding id="refEdit" type="matrix" appref="{93067445-F878-45EE-A952-47A7E92FE6B8}"/>
    <we:binding id="Worker" type="matrix" appref="{A4D82244-6EB6-4AAC-9C93-B04999E8E88E}"/>
    <we:binding id="Obj" type="matrix" appref="{9EE65DCC-25CE-479B-870E-C4462FF930FC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E92E-1939-41AF-86DC-D7C8FF6DC6B3}">
  <dimension ref="A1:XFD1048575"/>
  <sheetViews>
    <sheetView topLeftCell="D14" workbookViewId="0">
      <selection activeCell="I35" sqref="I35"/>
    </sheetView>
  </sheetViews>
  <sheetFormatPr baseColWidth="10" defaultColWidth="8.83203125" defaultRowHeight="16" x14ac:dyDescent="0.2"/>
  <cols>
    <col min="1" max="1" width="19.1640625" customWidth="1"/>
    <col min="2" max="2" width="14" customWidth="1"/>
    <col min="3" max="4" width="11.1640625" bestFit="1" customWidth="1"/>
    <col min="5" max="5" width="14.1640625" customWidth="1"/>
    <col min="6" max="6" width="14.5" customWidth="1"/>
    <col min="7" max="7" width="11.1640625" bestFit="1" customWidth="1"/>
    <col min="8" max="8" width="11" bestFit="1" customWidth="1"/>
    <col min="9" max="9" width="13.6640625" customWidth="1"/>
    <col min="10" max="11" width="12.6640625" bestFit="1" customWidth="1"/>
    <col min="12" max="12" width="9" bestFit="1" customWidth="1"/>
    <col min="13" max="13" width="11.5" bestFit="1" customWidth="1"/>
    <col min="14" max="19" width="9" bestFit="1" customWidth="1"/>
    <col min="20" max="20" width="11.5" bestFit="1" customWidth="1"/>
    <col min="21" max="21" width="9" bestFit="1" customWidth="1"/>
  </cols>
  <sheetData>
    <row r="1" spans="1:21" x14ac:dyDescent="0.2">
      <c r="A1" s="4"/>
      <c r="B1" s="4" t="s">
        <v>0</v>
      </c>
      <c r="C1" s="4" t="s">
        <v>1</v>
      </c>
      <c r="D1" s="3"/>
      <c r="E1" s="3"/>
      <c r="F1" s="4" t="s">
        <v>2</v>
      </c>
      <c r="G1" s="4" t="s">
        <v>3</v>
      </c>
    </row>
    <row r="2" spans="1:21" x14ac:dyDescent="0.2">
      <c r="A2" s="3" t="s">
        <v>4</v>
      </c>
      <c r="B2" s="3">
        <v>952</v>
      </c>
      <c r="C2" s="3">
        <v>24</v>
      </c>
      <c r="D2" s="3"/>
      <c r="E2" s="3"/>
      <c r="F2" s="3">
        <v>370000</v>
      </c>
      <c r="G2" s="3">
        <v>234500</v>
      </c>
    </row>
    <row r="3" spans="1:21" x14ac:dyDescent="0.2">
      <c r="A3" s="3" t="s">
        <v>5</v>
      </c>
      <c r="B3" s="3">
        <v>1.14E-2</v>
      </c>
      <c r="C3" s="3">
        <v>1.6999999999999999E-3</v>
      </c>
      <c r="D3" s="3"/>
      <c r="E3" s="3"/>
      <c r="F3" s="3"/>
      <c r="G3" s="3"/>
    </row>
    <row r="4" spans="1:21" x14ac:dyDescent="0.2">
      <c r="A4" s="3" t="s">
        <v>6</v>
      </c>
      <c r="B4" s="3">
        <v>2.9982000000000002E-2</v>
      </c>
      <c r="C4" s="3"/>
      <c r="D4" s="3"/>
      <c r="E4" s="3"/>
      <c r="F4" s="3"/>
      <c r="G4" s="3"/>
      <c r="I4" s="4" t="s">
        <v>7</v>
      </c>
      <c r="J4" s="9" t="s">
        <v>8</v>
      </c>
      <c r="K4" s="9" t="s">
        <v>9</v>
      </c>
      <c r="L4" s="9" t="s">
        <v>10</v>
      </c>
    </row>
    <row r="5" spans="1:21" x14ac:dyDescent="0.2">
      <c r="A5" s="3" t="s">
        <v>11</v>
      </c>
      <c r="B5" s="3">
        <v>2.63</v>
      </c>
      <c r="C5" s="3"/>
      <c r="D5" s="3"/>
      <c r="E5" s="3"/>
      <c r="F5" s="3"/>
      <c r="G5" s="3"/>
      <c r="H5" s="4"/>
      <c r="I5" s="8" t="s">
        <v>12</v>
      </c>
      <c r="J5" s="15">
        <v>0</v>
      </c>
      <c r="K5" s="15">
        <v>0</v>
      </c>
      <c r="L5" s="15">
        <v>0</v>
      </c>
    </row>
    <row r="6" spans="1:21" x14ac:dyDescent="0.2">
      <c r="A6" s="38" t="s">
        <v>13</v>
      </c>
      <c r="B6" s="3"/>
      <c r="C6" s="3"/>
      <c r="D6" s="3"/>
      <c r="E6" s="3"/>
      <c r="F6" s="3"/>
      <c r="G6" s="3"/>
      <c r="I6" s="8" t="s">
        <v>14</v>
      </c>
      <c r="J6" s="15">
        <v>100000</v>
      </c>
      <c r="K6" s="15">
        <v>134500</v>
      </c>
      <c r="L6" s="15">
        <v>0</v>
      </c>
    </row>
    <row r="7" spans="1:21" x14ac:dyDescent="0.2">
      <c r="A7" s="6" t="s">
        <v>15</v>
      </c>
      <c r="B7" s="6" t="s">
        <v>16</v>
      </c>
      <c r="C7" s="6" t="s">
        <v>17</v>
      </c>
      <c r="D7" s="3" t="s">
        <v>18</v>
      </c>
      <c r="E7" s="3"/>
      <c r="F7" s="6"/>
      <c r="G7" s="3"/>
    </row>
    <row r="8" spans="1:21" x14ac:dyDescent="0.2">
      <c r="A8" s="3" t="s">
        <v>12</v>
      </c>
      <c r="B8" s="3">
        <v>3.3436923099999998</v>
      </c>
      <c r="C8" s="3">
        <v>25.072134299999998</v>
      </c>
      <c r="D8" s="3">
        <v>121.679919</v>
      </c>
      <c r="E8" s="3"/>
      <c r="F8" s="3"/>
      <c r="G8" s="3"/>
      <c r="J8" s="10" t="s">
        <v>19</v>
      </c>
      <c r="K8" s="10" t="s">
        <v>20</v>
      </c>
      <c r="L8" s="10" t="s">
        <v>21</v>
      </c>
      <c r="M8" s="10" t="s">
        <v>22</v>
      </c>
    </row>
    <row r="9" spans="1:21" x14ac:dyDescent="0.2">
      <c r="A9" s="3" t="s">
        <v>14</v>
      </c>
      <c r="B9" s="3">
        <v>3.4233846200000002</v>
      </c>
      <c r="C9" s="3">
        <v>31.232343700000001</v>
      </c>
      <c r="D9" s="3">
        <v>121.46910200000001</v>
      </c>
      <c r="E9" s="3"/>
      <c r="F9" s="3"/>
      <c r="G9" s="3"/>
      <c r="I9" s="9" t="s">
        <v>8</v>
      </c>
      <c r="J9" s="15">
        <v>0</v>
      </c>
      <c r="K9" s="15">
        <v>0</v>
      </c>
      <c r="L9" s="15">
        <v>0</v>
      </c>
      <c r="M9" s="15">
        <v>100000</v>
      </c>
    </row>
    <row r="10" spans="1:21" x14ac:dyDescent="0.2">
      <c r="A10" s="3"/>
      <c r="B10" s="3"/>
      <c r="C10" s="3"/>
      <c r="D10" s="3"/>
      <c r="E10" s="3"/>
      <c r="F10" s="3"/>
      <c r="G10" s="3"/>
      <c r="I10" s="9" t="s">
        <v>9</v>
      </c>
      <c r="J10" s="15">
        <v>45000</v>
      </c>
      <c r="K10" s="15">
        <v>62000</v>
      </c>
      <c r="L10" s="15">
        <v>27500</v>
      </c>
      <c r="M10" s="15">
        <v>0</v>
      </c>
    </row>
    <row r="11" spans="1:21" x14ac:dyDescent="0.2">
      <c r="A11" s="7" t="s">
        <v>23</v>
      </c>
      <c r="B11" s="3"/>
      <c r="C11" s="3"/>
      <c r="D11" s="3"/>
      <c r="E11" s="3"/>
      <c r="F11" s="3"/>
      <c r="G11" s="3"/>
      <c r="I11" s="9" t="s">
        <v>10</v>
      </c>
      <c r="J11" s="15">
        <v>0</v>
      </c>
      <c r="K11" s="15">
        <v>0</v>
      </c>
      <c r="L11" s="15">
        <v>0</v>
      </c>
      <c r="M11" s="15">
        <v>0</v>
      </c>
    </row>
    <row r="12" spans="1:21" x14ac:dyDescent="0.2">
      <c r="A12" s="3" t="s">
        <v>15</v>
      </c>
      <c r="B12" s="3" t="s">
        <v>24</v>
      </c>
      <c r="C12" s="3" t="s">
        <v>17</v>
      </c>
      <c r="D12" s="3" t="s">
        <v>18</v>
      </c>
      <c r="E12" s="3"/>
      <c r="F12" s="3"/>
      <c r="G12" s="3"/>
    </row>
    <row r="13" spans="1:21" x14ac:dyDescent="0.2">
      <c r="A13" s="3" t="s">
        <v>8</v>
      </c>
      <c r="B13" s="3">
        <v>6.5338846200000003</v>
      </c>
      <c r="C13" s="3">
        <v>48.110300000000002</v>
      </c>
      <c r="D13" s="3">
        <v>16.569600000000001</v>
      </c>
      <c r="E13" s="3"/>
      <c r="F13" s="3"/>
      <c r="G13" s="3"/>
      <c r="J13" s="11" t="s">
        <v>25</v>
      </c>
      <c r="K13" s="11" t="s">
        <v>26</v>
      </c>
      <c r="L13" s="11" t="s">
        <v>27</v>
      </c>
      <c r="M13" s="11" t="s">
        <v>28</v>
      </c>
      <c r="N13" s="11" t="s">
        <v>29</v>
      </c>
      <c r="O13" s="11" t="s">
        <v>30</v>
      </c>
      <c r="P13" s="11" t="s">
        <v>31</v>
      </c>
      <c r="Q13" s="11" t="s">
        <v>32</v>
      </c>
      <c r="R13" s="11" t="s">
        <v>33</v>
      </c>
      <c r="S13" s="11" t="s">
        <v>34</v>
      </c>
      <c r="T13" s="11" t="s">
        <v>35</v>
      </c>
      <c r="U13" s="11" t="s">
        <v>36</v>
      </c>
    </row>
    <row r="14" spans="1:21" x14ac:dyDescent="0.2">
      <c r="A14" s="3" t="s">
        <v>9</v>
      </c>
      <c r="B14" s="3">
        <v>4.3022692300000003</v>
      </c>
      <c r="C14" s="3">
        <v>54.361699999999999</v>
      </c>
      <c r="D14" s="3">
        <v>18.651399999999999</v>
      </c>
      <c r="E14" s="3"/>
      <c r="F14" s="3"/>
      <c r="G14" s="3"/>
      <c r="I14" s="10" t="s">
        <v>19</v>
      </c>
      <c r="J14" s="15">
        <v>0</v>
      </c>
      <c r="K14" s="15">
        <v>6000</v>
      </c>
      <c r="L14" s="15">
        <v>14500</v>
      </c>
      <c r="M14" s="15">
        <v>0</v>
      </c>
      <c r="N14" s="15">
        <v>16500</v>
      </c>
      <c r="O14" s="15">
        <v>0</v>
      </c>
      <c r="P14" s="15">
        <v>0</v>
      </c>
      <c r="Q14" s="15">
        <v>8000</v>
      </c>
      <c r="R14" s="15">
        <v>0</v>
      </c>
      <c r="S14" s="15">
        <v>0</v>
      </c>
      <c r="T14" s="15">
        <v>0</v>
      </c>
      <c r="U14" s="15">
        <v>0</v>
      </c>
    </row>
    <row r="15" spans="1:21" x14ac:dyDescent="0.2">
      <c r="A15" s="3" t="s">
        <v>10</v>
      </c>
      <c r="B15" s="3">
        <v>5.6759230799999996</v>
      </c>
      <c r="C15" s="3">
        <v>49.009700000000002</v>
      </c>
      <c r="D15" s="3">
        <v>2.5478999999999998</v>
      </c>
      <c r="E15" s="3"/>
      <c r="F15" s="4"/>
      <c r="G15" s="4"/>
      <c r="I15" s="10" t="s">
        <v>20</v>
      </c>
      <c r="J15" s="15">
        <v>7000</v>
      </c>
      <c r="K15" s="15">
        <v>0</v>
      </c>
      <c r="L15" s="15">
        <v>0</v>
      </c>
      <c r="M15" s="15">
        <v>3000</v>
      </c>
      <c r="N15" s="15">
        <v>0</v>
      </c>
      <c r="O15" s="15">
        <v>6500</v>
      </c>
      <c r="P15" s="15">
        <v>500</v>
      </c>
      <c r="Q15" s="15">
        <v>0</v>
      </c>
      <c r="R15" s="15">
        <v>0</v>
      </c>
      <c r="S15" s="15">
        <v>1000</v>
      </c>
      <c r="T15" s="15">
        <v>44000</v>
      </c>
      <c r="U15" s="15">
        <v>0</v>
      </c>
    </row>
    <row r="16" spans="1:21" x14ac:dyDescent="0.2">
      <c r="A16" s="4"/>
      <c r="B16" s="3"/>
      <c r="C16" s="3"/>
      <c r="D16" s="3"/>
      <c r="E16" s="3"/>
      <c r="F16" s="3"/>
      <c r="G16" s="3"/>
      <c r="I16" s="10" t="s">
        <v>21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14000</v>
      </c>
      <c r="R16" s="15">
        <v>13000</v>
      </c>
      <c r="S16" s="15">
        <v>0</v>
      </c>
      <c r="T16" s="15">
        <v>0</v>
      </c>
      <c r="U16" s="15">
        <v>500</v>
      </c>
    </row>
    <row r="17" spans="1:21" x14ac:dyDescent="0.2">
      <c r="A17" s="13" t="s">
        <v>37</v>
      </c>
      <c r="F17" s="3"/>
      <c r="G17" s="3"/>
      <c r="I17" s="10" t="s">
        <v>22</v>
      </c>
      <c r="J17" s="15">
        <v>0</v>
      </c>
      <c r="K17" s="15">
        <v>0</v>
      </c>
      <c r="L17" s="15">
        <v>100000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</row>
    <row r="18" spans="1:21" x14ac:dyDescent="0.2">
      <c r="A18" s="3" t="s">
        <v>15</v>
      </c>
      <c r="B18" s="3" t="s">
        <v>24</v>
      </c>
      <c r="C18" s="3" t="s">
        <v>17</v>
      </c>
      <c r="D18" s="3" t="s">
        <v>18</v>
      </c>
      <c r="E18" s="3" t="s">
        <v>38</v>
      </c>
      <c r="F18" s="3"/>
      <c r="G18" s="3"/>
    </row>
    <row r="19" spans="1:21" x14ac:dyDescent="0.2">
      <c r="A19" s="3" t="s">
        <v>19</v>
      </c>
      <c r="B19" s="3">
        <v>4.7682692299999996</v>
      </c>
      <c r="C19" s="3">
        <v>50.029000000000003</v>
      </c>
      <c r="D19" s="3">
        <v>15.808999999999999</v>
      </c>
      <c r="E19" s="3">
        <v>45000</v>
      </c>
      <c r="F19" s="3"/>
      <c r="G19" s="3"/>
      <c r="I19" s="4" t="s">
        <v>39</v>
      </c>
      <c r="J19" s="35" t="s">
        <v>8</v>
      </c>
      <c r="K19" s="35" t="s">
        <v>9</v>
      </c>
      <c r="L19" s="35" t="s">
        <v>10</v>
      </c>
    </row>
    <row r="20" spans="1:21" x14ac:dyDescent="0.2">
      <c r="A20" s="3" t="s">
        <v>20</v>
      </c>
      <c r="B20" s="3">
        <v>5.6759230799999996</v>
      </c>
      <c r="C20" s="3">
        <v>50.334299999999999</v>
      </c>
      <c r="D20" s="3">
        <v>2.9289999999999998</v>
      </c>
      <c r="E20" s="3">
        <v>150000</v>
      </c>
      <c r="F20" s="3"/>
      <c r="G20" s="3"/>
      <c r="H20" s="3"/>
      <c r="I20" s="8" t="s">
        <v>12</v>
      </c>
      <c r="J20" cm="1">
        <f t="array" ref="J20:L21">(B41:D42*B4+B8:B9)*J5:L6</f>
        <v>0</v>
      </c>
      <c r="K20">
        <v>0</v>
      </c>
      <c r="L20">
        <v>0</v>
      </c>
    </row>
    <row r="21" spans="1:21" x14ac:dyDescent="0.2">
      <c r="A21" s="3" t="s">
        <v>21</v>
      </c>
      <c r="B21" s="3">
        <v>4.42603846</v>
      </c>
      <c r="C21" s="3">
        <v>56.896000000000001</v>
      </c>
      <c r="D21" s="3">
        <v>24.045999999999999</v>
      </c>
      <c r="E21" s="3">
        <v>75000</v>
      </c>
      <c r="F21" s="3"/>
      <c r="G21" s="3"/>
      <c r="H21" s="3"/>
      <c r="I21" s="8" t="s">
        <v>14</v>
      </c>
      <c r="J21">
        <v>25741205.722562</v>
      </c>
      <c r="K21">
        <v>32705499.862622481</v>
      </c>
      <c r="L21">
        <v>0</v>
      </c>
    </row>
    <row r="22" spans="1:21" x14ac:dyDescent="0.2">
      <c r="A22" s="3" t="s">
        <v>22</v>
      </c>
      <c r="B22" s="3">
        <v>7.0865</v>
      </c>
      <c r="C22" s="3">
        <v>38.043999999999997</v>
      </c>
      <c r="D22" s="3">
        <v>23.798999999999999</v>
      </c>
      <c r="E22" s="3">
        <v>100000</v>
      </c>
      <c r="F22" s="3"/>
      <c r="G22" s="3"/>
      <c r="H22" s="4"/>
    </row>
    <row r="23" spans="1:21" x14ac:dyDescent="0.2">
      <c r="A23" s="3"/>
      <c r="B23" s="3"/>
      <c r="C23" s="3"/>
      <c r="D23" s="3"/>
      <c r="E23" s="3"/>
      <c r="F23" s="3"/>
      <c r="G23" s="3"/>
      <c r="H23" s="3"/>
      <c r="J23" s="10" t="s">
        <v>19</v>
      </c>
      <c r="K23" s="10" t="s">
        <v>20</v>
      </c>
      <c r="L23" s="10" t="s">
        <v>21</v>
      </c>
      <c r="M23" s="10" t="s">
        <v>22</v>
      </c>
    </row>
    <row r="24" spans="1:21" x14ac:dyDescent="0.2">
      <c r="A24" s="12" t="s">
        <v>40</v>
      </c>
      <c r="B24" s="3"/>
      <c r="C24" s="3"/>
      <c r="D24" s="3"/>
      <c r="E24" s="3"/>
      <c r="F24" s="3"/>
      <c r="G24" s="3"/>
      <c r="H24" s="3"/>
      <c r="I24" s="9" t="s">
        <v>8</v>
      </c>
      <c r="J24" cm="1">
        <f t="array" ref="J24:M26">(B45:E47*B4+B13:B15)*J9:M11</f>
        <v>0</v>
      </c>
      <c r="K24">
        <v>0</v>
      </c>
      <c r="L24">
        <v>0</v>
      </c>
      <c r="M24">
        <v>4440181.77195</v>
      </c>
    </row>
    <row r="25" spans="1:21" x14ac:dyDescent="0.2">
      <c r="A25" s="3" t="s">
        <v>15</v>
      </c>
      <c r="B25" s="3" t="s">
        <v>3</v>
      </c>
      <c r="C25" s="3" t="s">
        <v>17</v>
      </c>
      <c r="D25" s="3" t="s">
        <v>18</v>
      </c>
      <c r="E25" s="3"/>
      <c r="F25" s="3"/>
      <c r="G25" s="3"/>
      <c r="H25" s="3"/>
      <c r="I25" s="9" t="s">
        <v>9</v>
      </c>
      <c r="J25">
        <v>894268.87235433003</v>
      </c>
      <c r="K25">
        <v>2414187.2673700401</v>
      </c>
      <c r="L25">
        <v>481487.43428521999</v>
      </c>
      <c r="M25">
        <v>0</v>
      </c>
    </row>
    <row r="26" spans="1:21" x14ac:dyDescent="0.2">
      <c r="A26" s="3" t="s">
        <v>25</v>
      </c>
      <c r="B26" s="3">
        <v>7000</v>
      </c>
      <c r="C26" s="3">
        <v>47.9556915</v>
      </c>
      <c r="D26" s="3">
        <v>-1.495366</v>
      </c>
      <c r="E26" s="3"/>
      <c r="F26" s="3"/>
      <c r="G26" s="3"/>
      <c r="H26" s="3"/>
      <c r="I26" s="9" t="s">
        <v>10</v>
      </c>
      <c r="J26">
        <v>0</v>
      </c>
      <c r="K26">
        <v>0</v>
      </c>
      <c r="L26">
        <v>0</v>
      </c>
      <c r="M26">
        <v>0</v>
      </c>
    </row>
    <row r="27" spans="1:21" x14ac:dyDescent="0.2">
      <c r="A27" s="3" t="s">
        <v>26</v>
      </c>
      <c r="B27" s="3">
        <v>6000</v>
      </c>
      <c r="C27" s="3">
        <v>35.773417600000002</v>
      </c>
      <c r="D27" s="3">
        <v>27.1814307</v>
      </c>
      <c r="E27" s="3"/>
      <c r="F27" s="3"/>
      <c r="G27" s="3"/>
      <c r="H27" s="3"/>
    </row>
    <row r="28" spans="1:21" x14ac:dyDescent="0.2">
      <c r="A28" s="3" t="s">
        <v>27</v>
      </c>
      <c r="B28" s="3">
        <v>114500</v>
      </c>
      <c r="C28" s="3">
        <v>37.983941199999997</v>
      </c>
      <c r="D28" s="3">
        <v>23.728305200000001</v>
      </c>
      <c r="E28" s="3"/>
      <c r="F28" s="3"/>
      <c r="G28" s="3"/>
      <c r="H28" s="3"/>
      <c r="J28" s="11" t="s">
        <v>25</v>
      </c>
      <c r="K28" s="11" t="s">
        <v>26</v>
      </c>
      <c r="L28" s="11" t="s">
        <v>27</v>
      </c>
      <c r="M28" s="11" t="s">
        <v>28</v>
      </c>
      <c r="N28" s="11" t="s">
        <v>29</v>
      </c>
      <c r="O28" s="11" t="s">
        <v>30</v>
      </c>
      <c r="P28" s="11" t="s">
        <v>31</v>
      </c>
      <c r="Q28" s="11" t="s">
        <v>32</v>
      </c>
      <c r="R28" s="11" t="s">
        <v>33</v>
      </c>
      <c r="S28" s="11" t="s">
        <v>34</v>
      </c>
      <c r="T28" s="11" t="s">
        <v>35</v>
      </c>
      <c r="U28" s="11" t="s">
        <v>36</v>
      </c>
    </row>
    <row r="29" spans="1:21" x14ac:dyDescent="0.2">
      <c r="A29" s="3" t="s">
        <v>28</v>
      </c>
      <c r="B29" s="3">
        <v>3000</v>
      </c>
      <c r="C29" s="3">
        <v>45.747956299999998</v>
      </c>
      <c r="D29" s="3">
        <v>-0.33856140000000001</v>
      </c>
      <c r="E29" s="3"/>
      <c r="F29" s="3"/>
      <c r="G29" s="3"/>
      <c r="H29" s="3"/>
      <c r="I29" s="10" t="s">
        <v>19</v>
      </c>
      <c r="J29" cm="1">
        <f t="array" ref="J29:U32">(B50:M53*B4+B19:B22)*J14:U17</f>
        <v>0</v>
      </c>
      <c r="K29">
        <v>358141.78757387999</v>
      </c>
      <c r="L29">
        <v>712561.64476955007</v>
      </c>
      <c r="M29">
        <v>0</v>
      </c>
      <c r="N29">
        <v>257683.13188015201</v>
      </c>
      <c r="O29">
        <v>0</v>
      </c>
      <c r="P29">
        <v>0</v>
      </c>
      <c r="Q29">
        <v>171822.45006990401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3" t="s">
        <v>29</v>
      </c>
      <c r="B30" s="3">
        <v>16500</v>
      </c>
      <c r="C30" s="3">
        <v>48.224243399999999</v>
      </c>
      <c r="D30" s="3">
        <v>11.6715263</v>
      </c>
      <c r="E30" s="3"/>
      <c r="F30" s="3"/>
      <c r="G30" s="3"/>
      <c r="H30" s="3"/>
      <c r="I30" s="10" t="s">
        <v>20</v>
      </c>
      <c r="J30">
        <v>127157.72028241798</v>
      </c>
      <c r="K30">
        <v>0</v>
      </c>
      <c r="L30">
        <v>0</v>
      </c>
      <c r="M30">
        <v>67839.971005566011</v>
      </c>
      <c r="N30">
        <v>0</v>
      </c>
      <c r="O30">
        <v>97715.102989296007</v>
      </c>
      <c r="P30">
        <v>5422.1218579529996</v>
      </c>
      <c r="Q30">
        <v>0</v>
      </c>
      <c r="R30">
        <v>0</v>
      </c>
      <c r="S30">
        <v>47296.114273020001</v>
      </c>
      <c r="T30">
        <v>2342182.3195663202</v>
      </c>
      <c r="U30">
        <v>0</v>
      </c>
    </row>
    <row r="31" spans="1:21" x14ac:dyDescent="0.2">
      <c r="A31" s="3" t="s">
        <v>30</v>
      </c>
      <c r="B31" s="3">
        <v>6500</v>
      </c>
      <c r="C31" s="3">
        <v>51.783499399999997</v>
      </c>
      <c r="D31" s="3">
        <v>-0.89464410000000005</v>
      </c>
      <c r="E31" s="3"/>
      <c r="F31" s="3"/>
      <c r="G31" s="3"/>
      <c r="H31" s="3"/>
      <c r="I31" s="10" t="s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457904.91249146004</v>
      </c>
      <c r="R31">
        <v>144217.96749614799</v>
      </c>
      <c r="S31">
        <v>0</v>
      </c>
      <c r="T31">
        <v>0</v>
      </c>
      <c r="U31">
        <v>12915.680068226</v>
      </c>
    </row>
    <row r="32" spans="1:21" x14ac:dyDescent="0.2">
      <c r="A32" s="3" t="s">
        <v>31</v>
      </c>
      <c r="B32" s="3">
        <v>500</v>
      </c>
      <c r="C32" s="3">
        <v>48.785892099999998</v>
      </c>
      <c r="D32" s="3">
        <v>3.0292059</v>
      </c>
      <c r="E32" s="3"/>
      <c r="F32" s="3"/>
      <c r="G32" s="3"/>
      <c r="H32" s="3"/>
      <c r="I32" s="10" t="s">
        <v>22</v>
      </c>
      <c r="J32">
        <v>0</v>
      </c>
      <c r="K32">
        <v>0</v>
      </c>
      <c r="L32">
        <v>735966.18566886801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18" x14ac:dyDescent="0.2">
      <c r="A33" s="3" t="s">
        <v>32</v>
      </c>
      <c r="B33" s="3">
        <v>22000</v>
      </c>
      <c r="C33" s="3">
        <v>53.6736529</v>
      </c>
      <c r="D33" s="3">
        <v>10.2358999</v>
      </c>
      <c r="E33" s="3"/>
      <c r="F33" s="3"/>
      <c r="G33" s="3"/>
      <c r="H33" s="3"/>
      <c r="I33" s="3"/>
      <c r="J33" s="3"/>
      <c r="K33" s="3"/>
      <c r="L33" s="3"/>
      <c r="M33" s="3"/>
    </row>
    <row r="34" spans="1:18" x14ac:dyDescent="0.2">
      <c r="A34" s="3" t="s">
        <v>33</v>
      </c>
      <c r="B34" s="3">
        <v>13000</v>
      </c>
      <c r="C34" s="3">
        <v>54.898213900000002</v>
      </c>
      <c r="D34" s="3">
        <v>23.904481700000002</v>
      </c>
      <c r="E34" s="3"/>
      <c r="F34" s="3"/>
      <c r="G34" s="3"/>
      <c r="H34" s="3"/>
      <c r="I34" s="4" t="s">
        <v>41</v>
      </c>
      <c r="J34" s="3"/>
      <c r="K34" s="3"/>
      <c r="L34" s="3"/>
      <c r="M34" s="3"/>
    </row>
    <row r="35" spans="1:18" x14ac:dyDescent="0.2">
      <c r="A35" s="3" t="s">
        <v>34</v>
      </c>
      <c r="B35" s="3">
        <v>1000</v>
      </c>
      <c r="C35" s="3">
        <v>40.713449099999998</v>
      </c>
      <c r="D35" s="3">
        <v>-8.4825639000000006</v>
      </c>
      <c r="E35" s="3"/>
      <c r="F35" s="3"/>
      <c r="G35" s="3"/>
      <c r="H35" s="3"/>
      <c r="I35" s="14">
        <f>SUM(_xlfn.ANCHORARRAY(J20),_xlfn.ANCHORARRAY(J24),_xlfn.ANCHORARRAY(J29))</f>
        <v>72215658.041136846</v>
      </c>
      <c r="J35" s="3"/>
      <c r="K35" s="3"/>
      <c r="L35" s="3"/>
      <c r="M35" s="3"/>
    </row>
    <row r="36" spans="1:18" x14ac:dyDescent="0.2">
      <c r="A36" s="3" t="s">
        <v>35</v>
      </c>
      <c r="B36" s="3">
        <v>44000</v>
      </c>
      <c r="C36" s="3">
        <v>38.8735511</v>
      </c>
      <c r="D36" s="3">
        <v>-9.0785503999999992</v>
      </c>
      <c r="E36" s="3"/>
      <c r="F36" s="3"/>
      <c r="G36" s="3"/>
      <c r="H36" s="3"/>
      <c r="I36" s="3"/>
      <c r="J36" s="3"/>
      <c r="K36" s="3"/>
      <c r="L36" s="3"/>
      <c r="M36" s="3"/>
    </row>
    <row r="37" spans="1:18" x14ac:dyDescent="0.2">
      <c r="A37" s="3" t="s">
        <v>36</v>
      </c>
      <c r="B37" s="3">
        <v>500</v>
      </c>
      <c r="C37" s="3">
        <v>63.246777700000003</v>
      </c>
      <c r="D37" s="3">
        <v>25.920916399999999</v>
      </c>
      <c r="E37" s="3"/>
      <c r="F37" s="3"/>
      <c r="G37" s="3"/>
      <c r="H37" s="3"/>
      <c r="I37" s="3"/>
      <c r="J37" s="3"/>
      <c r="K37" s="3"/>
      <c r="L37" s="3"/>
      <c r="M37" s="3"/>
      <c r="O37" s="1" t="s">
        <v>42</v>
      </c>
    </row>
    <row r="38" spans="1:18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O38" s="1" t="s">
        <v>43</v>
      </c>
    </row>
    <row r="39" spans="1:18" x14ac:dyDescent="0.2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O39">
        <f>SUM(J9:J11)</f>
        <v>45000</v>
      </c>
      <c r="P39" t="s">
        <v>44</v>
      </c>
      <c r="Q39" s="3">
        <v>45000</v>
      </c>
      <c r="R39" s="3" t="s">
        <v>19</v>
      </c>
    </row>
    <row r="40" spans="1:18" x14ac:dyDescent="0.2">
      <c r="A40" s="4" t="s">
        <v>45</v>
      </c>
      <c r="B40" s="35" t="s">
        <v>8</v>
      </c>
      <c r="C40" s="35" t="s">
        <v>9</v>
      </c>
      <c r="D40" s="35" t="s">
        <v>10</v>
      </c>
      <c r="O40">
        <f>SUM(K9:K11)</f>
        <v>62000</v>
      </c>
      <c r="P40" t="s">
        <v>44</v>
      </c>
      <c r="Q40" s="3">
        <v>150000</v>
      </c>
      <c r="R40" s="3" t="s">
        <v>20</v>
      </c>
    </row>
    <row r="41" spans="1:18" x14ac:dyDescent="0.2">
      <c r="A41" s="8" t="s">
        <v>12</v>
      </c>
      <c r="B41" s="3">
        <v>9000.7708299999995</v>
      </c>
      <c r="C41" s="3">
        <v>8561.6520600000003</v>
      </c>
      <c r="D41" s="3">
        <v>9815.4661699999997</v>
      </c>
      <c r="O41">
        <f>SUM(L9:L11)</f>
        <v>27500</v>
      </c>
      <c r="P41" t="s">
        <v>44</v>
      </c>
      <c r="Q41" s="3">
        <v>75000</v>
      </c>
      <c r="R41" s="3" t="s">
        <v>21</v>
      </c>
    </row>
    <row r="42" spans="1:18" x14ac:dyDescent="0.2">
      <c r="A42" s="8" t="s">
        <v>14</v>
      </c>
      <c r="B42" s="3">
        <v>8471.3719099999998</v>
      </c>
      <c r="C42" s="3">
        <v>7996.1371200000003</v>
      </c>
      <c r="D42" s="3">
        <v>9243.1630600000008</v>
      </c>
      <c r="O42">
        <f>SUM(M9:M11)</f>
        <v>100000</v>
      </c>
      <c r="P42" t="s">
        <v>44</v>
      </c>
      <c r="Q42" s="3">
        <v>100000</v>
      </c>
      <c r="R42" s="3" t="s">
        <v>22</v>
      </c>
    </row>
    <row r="44" spans="1:18" x14ac:dyDescent="0.2">
      <c r="B44" s="10" t="s">
        <v>19</v>
      </c>
      <c r="C44" s="10" t="s">
        <v>20</v>
      </c>
      <c r="D44" s="10" t="s">
        <v>21</v>
      </c>
      <c r="E44" s="10" t="s">
        <v>22</v>
      </c>
      <c r="O44" s="1" t="s">
        <v>46</v>
      </c>
    </row>
    <row r="45" spans="1:18" x14ac:dyDescent="0.2">
      <c r="A45" s="9" t="s">
        <v>8</v>
      </c>
      <c r="B45" s="3">
        <v>220.49319199999999</v>
      </c>
      <c r="C45" s="3">
        <v>1019.75143</v>
      </c>
      <c r="D45" s="3">
        <v>1099.06143</v>
      </c>
      <c r="E45" s="3">
        <v>1263.02225</v>
      </c>
      <c r="O45">
        <f>SUM(J14:J17)</f>
        <v>7000</v>
      </c>
      <c r="P45" t="s">
        <v>47</v>
      </c>
      <c r="Q45" s="3">
        <v>7000</v>
      </c>
      <c r="R45" s="3" t="s">
        <v>25</v>
      </c>
    </row>
    <row r="46" spans="1:18" x14ac:dyDescent="0.2">
      <c r="A46" s="9" t="s">
        <v>9</v>
      </c>
      <c r="B46" s="3">
        <v>519.32400700000005</v>
      </c>
      <c r="C46" s="3">
        <v>1155.2343100000001</v>
      </c>
      <c r="D46" s="3">
        <v>440.47644400000001</v>
      </c>
      <c r="E46" s="3">
        <v>1856.5320200000001</v>
      </c>
      <c r="O46">
        <f>SUM(K14:K17)</f>
        <v>6000</v>
      </c>
      <c r="P46" t="s">
        <v>47</v>
      </c>
      <c r="Q46" s="3">
        <v>6000</v>
      </c>
      <c r="R46" s="3" t="s">
        <v>26</v>
      </c>
    </row>
    <row r="47" spans="1:18" x14ac:dyDescent="0.2">
      <c r="A47" s="9" t="s">
        <v>10</v>
      </c>
      <c r="B47" s="3">
        <v>962.97049100000004</v>
      </c>
      <c r="C47" s="3">
        <v>149.866636</v>
      </c>
      <c r="D47" s="3">
        <v>1675.98143</v>
      </c>
      <c r="E47" s="3">
        <v>2091.80017</v>
      </c>
      <c r="O47">
        <f>SUM(L14:L17)</f>
        <v>114500</v>
      </c>
      <c r="P47" t="s">
        <v>47</v>
      </c>
      <c r="Q47" s="3">
        <v>114500</v>
      </c>
      <c r="R47" s="3" t="s">
        <v>27</v>
      </c>
    </row>
    <row r="48" spans="1:18" x14ac:dyDescent="0.2">
      <c r="O48">
        <f>SUM(M14:M17)</f>
        <v>3000</v>
      </c>
      <c r="P48" t="s">
        <v>47</v>
      </c>
      <c r="Q48" s="3">
        <v>3000</v>
      </c>
      <c r="R48" s="3" t="s">
        <v>28</v>
      </c>
    </row>
    <row r="49" spans="1:18" x14ac:dyDescent="0.2">
      <c r="B49" s="11" t="s">
        <v>25</v>
      </c>
      <c r="C49" s="11" t="s">
        <v>26</v>
      </c>
      <c r="D49" s="11" t="s">
        <v>27</v>
      </c>
      <c r="E49" s="11" t="s">
        <v>28</v>
      </c>
      <c r="F49" s="11" t="s">
        <v>29</v>
      </c>
      <c r="G49" s="11" t="s">
        <v>30</v>
      </c>
      <c r="H49" s="11" t="s">
        <v>31</v>
      </c>
      <c r="I49" s="11" t="s">
        <v>32</v>
      </c>
      <c r="J49" s="11" t="s">
        <v>33</v>
      </c>
      <c r="K49" s="11" t="s">
        <v>34</v>
      </c>
      <c r="L49" s="11" t="s">
        <v>35</v>
      </c>
      <c r="M49" s="11" t="s">
        <v>36</v>
      </c>
      <c r="O49">
        <f>SUM(N14:N17)</f>
        <v>16500</v>
      </c>
      <c r="P49" t="s">
        <v>47</v>
      </c>
      <c r="Q49" s="3">
        <v>16500</v>
      </c>
      <c r="R49" s="3" t="s">
        <v>29</v>
      </c>
    </row>
    <row r="50" spans="1:18" x14ac:dyDescent="0.2">
      <c r="A50" s="10" t="s">
        <v>19</v>
      </c>
      <c r="B50" s="3">
        <v>1280.7990199999999</v>
      </c>
      <c r="C50" s="3">
        <v>1831.83339</v>
      </c>
      <c r="D50" s="3">
        <v>1480.01845</v>
      </c>
      <c r="E50" s="3">
        <v>1291.8657499999999</v>
      </c>
      <c r="F50" s="3">
        <v>361.84678400000001</v>
      </c>
      <c r="G50" s="3">
        <v>1185.02241</v>
      </c>
      <c r="H50" s="3">
        <v>934.02313500000002</v>
      </c>
      <c r="I50" s="3">
        <v>557.31895899999995</v>
      </c>
      <c r="J50" s="3">
        <v>769.99873300000002</v>
      </c>
      <c r="K50" s="3">
        <v>2148.6587500000001</v>
      </c>
      <c r="L50" s="3">
        <v>2316.5231899999999</v>
      </c>
      <c r="M50" s="3">
        <v>1590.5757900000001</v>
      </c>
      <c r="O50">
        <f>SUM(O14:O17)</f>
        <v>6500</v>
      </c>
      <c r="P50" t="s">
        <v>47</v>
      </c>
      <c r="Q50" s="3">
        <v>6500</v>
      </c>
      <c r="R50" s="3" t="s">
        <v>30</v>
      </c>
    </row>
    <row r="51" spans="1:18" x14ac:dyDescent="0.2">
      <c r="A51" s="10" t="s">
        <v>20</v>
      </c>
      <c r="B51" s="3">
        <v>416.56545699999998</v>
      </c>
      <c r="C51" s="3">
        <v>2530.90245</v>
      </c>
      <c r="D51" s="3">
        <v>2141.5278499999999</v>
      </c>
      <c r="E51" s="3">
        <v>564.91897100000006</v>
      </c>
      <c r="F51" s="3">
        <v>675.90874699999995</v>
      </c>
      <c r="G51" s="3">
        <v>312.09291200000001</v>
      </c>
      <c r="H51" s="3">
        <v>172.38078300000001</v>
      </c>
      <c r="I51" s="3">
        <v>622.62840600000004</v>
      </c>
      <c r="J51" s="3">
        <v>1497.87247</v>
      </c>
      <c r="K51" s="3">
        <v>1388.1726100000001</v>
      </c>
      <c r="L51" s="3">
        <v>1586.1347900000001</v>
      </c>
      <c r="M51" s="3">
        <v>1984.94219</v>
      </c>
      <c r="O51">
        <f>SUM(P14:P17)</f>
        <v>500</v>
      </c>
      <c r="P51" t="s">
        <v>47</v>
      </c>
      <c r="Q51" s="3">
        <v>500</v>
      </c>
      <c r="R51" s="3" t="s">
        <v>31</v>
      </c>
    </row>
    <row r="52" spans="1:18" x14ac:dyDescent="0.2">
      <c r="A52" s="10" t="s">
        <v>21</v>
      </c>
      <c r="B52" s="3">
        <v>1980.3791900000001</v>
      </c>
      <c r="C52" s="3">
        <v>2361.1644700000002</v>
      </c>
      <c r="D52" s="3">
        <v>2103.7152599999999</v>
      </c>
      <c r="E52" s="3">
        <v>2081.5314899999998</v>
      </c>
      <c r="F52" s="3">
        <v>1273.04423</v>
      </c>
      <c r="G52" s="3">
        <v>1702.8825099999999</v>
      </c>
      <c r="H52" s="3">
        <v>1665.1453899999999</v>
      </c>
      <c r="I52" s="3">
        <v>943.28114500000004</v>
      </c>
      <c r="J52" s="3">
        <v>222.38847799999999</v>
      </c>
      <c r="K52" s="3">
        <v>2940.4324900000001</v>
      </c>
      <c r="L52" s="3">
        <v>3129.52936</v>
      </c>
      <c r="M52" s="3">
        <v>713.93908599999997</v>
      </c>
      <c r="O52">
        <f>SUM(Q14:Q17)</f>
        <v>22000</v>
      </c>
      <c r="P52" t="s">
        <v>47</v>
      </c>
      <c r="Q52" s="3">
        <v>22000</v>
      </c>
      <c r="R52" s="3" t="s">
        <v>32</v>
      </c>
    </row>
    <row r="53" spans="1:18" x14ac:dyDescent="0.2">
      <c r="A53" s="10" t="s">
        <v>22</v>
      </c>
      <c r="B53" s="3">
        <v>2319.27882</v>
      </c>
      <c r="C53" s="3">
        <v>392.73576100000002</v>
      </c>
      <c r="D53" s="3">
        <v>9.1108617400000007</v>
      </c>
      <c r="E53" s="3">
        <v>2163.5780500000001</v>
      </c>
      <c r="F53" s="3">
        <v>1496.75197</v>
      </c>
      <c r="G53" s="3">
        <v>2453.0090399999999</v>
      </c>
      <c r="H53" s="3">
        <v>2049.0579200000002</v>
      </c>
      <c r="I53" s="3">
        <v>2023.5485900000001</v>
      </c>
      <c r="J53" s="3">
        <v>1874.7082700000001</v>
      </c>
      <c r="K53" s="3">
        <v>2775.6073999999999</v>
      </c>
      <c r="L53" s="3">
        <v>2849.5451200000002</v>
      </c>
      <c r="M53" s="3">
        <v>2806.9366500000001</v>
      </c>
      <c r="O53">
        <f>SUM(R14:R17)</f>
        <v>13000</v>
      </c>
      <c r="P53" t="s">
        <v>47</v>
      </c>
      <c r="Q53" s="3">
        <v>13000</v>
      </c>
      <c r="R53" s="3" t="s">
        <v>33</v>
      </c>
    </row>
    <row r="54" spans="1:18" x14ac:dyDescent="0.2">
      <c r="O54">
        <f>SUM(S14:S17)</f>
        <v>1000</v>
      </c>
      <c r="P54" t="s">
        <v>47</v>
      </c>
      <c r="Q54" s="3">
        <v>1000</v>
      </c>
      <c r="R54" s="3" t="s">
        <v>34</v>
      </c>
    </row>
    <row r="55" spans="1:18" x14ac:dyDescent="0.2">
      <c r="O55">
        <f>SUM(T14:T17)</f>
        <v>44000</v>
      </c>
      <c r="P55" t="s">
        <v>47</v>
      </c>
      <c r="Q55" s="3">
        <v>44000</v>
      </c>
      <c r="R55" s="3" t="s">
        <v>35</v>
      </c>
    </row>
    <row r="56" spans="1:18" x14ac:dyDescent="0.2">
      <c r="O56">
        <f>SUM(U14:U17)</f>
        <v>500</v>
      </c>
      <c r="P56" t="s">
        <v>47</v>
      </c>
      <c r="Q56" s="3">
        <v>500</v>
      </c>
      <c r="R56" s="3" t="s">
        <v>36</v>
      </c>
    </row>
    <row r="58" spans="1:18" x14ac:dyDescent="0.2">
      <c r="O58" s="1" t="s">
        <v>48</v>
      </c>
    </row>
    <row r="59" spans="1:18" x14ac:dyDescent="0.2">
      <c r="O59">
        <f>SUM(J5:J6)</f>
        <v>100000</v>
      </c>
      <c r="P59" t="s">
        <v>47</v>
      </c>
      <c r="Q59">
        <f>SUM(J9:M9)</f>
        <v>100000</v>
      </c>
      <c r="R59" s="3" t="s">
        <v>8</v>
      </c>
    </row>
    <row r="60" spans="1:18" x14ac:dyDescent="0.2">
      <c r="I60" s="1"/>
      <c r="O60">
        <f>SUM(K5:K6)</f>
        <v>134500</v>
      </c>
      <c r="P60" t="s">
        <v>47</v>
      </c>
      <c r="Q60">
        <f>SUM(J10:M10)</f>
        <v>134500</v>
      </c>
      <c r="R60" s="3" t="s">
        <v>9</v>
      </c>
    </row>
    <row r="61" spans="1:18" x14ac:dyDescent="0.2">
      <c r="L61" s="3"/>
      <c r="O61">
        <f>SUM(L5:L6)</f>
        <v>0</v>
      </c>
      <c r="P61" t="s">
        <v>47</v>
      </c>
      <c r="Q61">
        <f>SUM(J11:M11)</f>
        <v>0</v>
      </c>
      <c r="R61" s="3" t="s">
        <v>10</v>
      </c>
    </row>
    <row r="62" spans="1:18" x14ac:dyDescent="0.2">
      <c r="L62" s="3"/>
      <c r="O62">
        <f>SUM(J9:J11)</f>
        <v>45000</v>
      </c>
      <c r="P62" t="s">
        <v>47</v>
      </c>
      <c r="Q62">
        <f>SUM(J14:U14)</f>
        <v>45000</v>
      </c>
      <c r="R62" t="s">
        <v>19</v>
      </c>
    </row>
    <row r="63" spans="1:18" x14ac:dyDescent="0.2">
      <c r="L63" s="3"/>
      <c r="O63">
        <f>SUM(K9:K11)</f>
        <v>62000</v>
      </c>
      <c r="P63" t="s">
        <v>47</v>
      </c>
      <c r="Q63">
        <f>SUM(J15:U15)</f>
        <v>62000</v>
      </c>
      <c r="R63" t="s">
        <v>20</v>
      </c>
    </row>
    <row r="64" spans="1:18" x14ac:dyDescent="0.2">
      <c r="O64">
        <f>SUM(L9:L11)</f>
        <v>27500</v>
      </c>
      <c r="P64" t="s">
        <v>47</v>
      </c>
      <c r="Q64">
        <f>SUM(J16:U16)</f>
        <v>27500</v>
      </c>
      <c r="R64" t="s">
        <v>21</v>
      </c>
    </row>
    <row r="65" spans="15:18" x14ac:dyDescent="0.2">
      <c r="O65">
        <f>SUM(M9:M11)</f>
        <v>100000</v>
      </c>
      <c r="P65" t="s">
        <v>47</v>
      </c>
      <c r="Q65">
        <f>SUM(J17:U17)</f>
        <v>100000</v>
      </c>
      <c r="R65" t="s">
        <v>22</v>
      </c>
    </row>
    <row r="66" spans="15:18" x14ac:dyDescent="0.2">
      <c r="R66" s="3"/>
    </row>
    <row r="1048550" spans="16384:16384" x14ac:dyDescent="0.2">
      <c r="XFD1048550">
        <f>solver_pre</f>
        <v>9.9999999999999995E-7</v>
      </c>
    </row>
    <row r="1048551" spans="16384:16384" x14ac:dyDescent="0.2">
      <c r="XFD1048551">
        <f>solver_scl</f>
        <v>2</v>
      </c>
    </row>
    <row r="1048552" spans="16384:16384" x14ac:dyDescent="0.2">
      <c r="XFD1048552">
        <f>solver_rlx</f>
        <v>2</v>
      </c>
    </row>
    <row r="1048553" spans="16384:16384" x14ac:dyDescent="0.2">
      <c r="XFD1048553">
        <f>solver_tol</f>
        <v>0.01</v>
      </c>
    </row>
    <row r="1048554" spans="16384:16384" x14ac:dyDescent="0.2">
      <c r="XFD1048554">
        <f>solver_cvg</f>
        <v>1E-4</v>
      </c>
    </row>
    <row r="1048555" spans="16384:16384" x14ac:dyDescent="0.2">
      <c r="XFD1048555" t="e" cm="1">
        <f t="array" aca="1" ref="XFD1048555" ca="1">_xludf.Areas(solver_adj1)</f>
        <v>#NAME?</v>
      </c>
    </row>
    <row r="1048556" spans="16384:16384" x14ac:dyDescent="0.2">
      <c r="XFD1048556">
        <f>solver_ssz</f>
        <v>100</v>
      </c>
    </row>
    <row r="1048557" spans="16384:16384" x14ac:dyDescent="0.2">
      <c r="XFD1048557">
        <f>solver_rsd</f>
        <v>0</v>
      </c>
    </row>
    <row r="1048558" spans="16384:16384" x14ac:dyDescent="0.2">
      <c r="XFD1048558">
        <f>solver_mrt</f>
        <v>7.4999999999999997E-2</v>
      </c>
    </row>
    <row r="1048559" spans="16384:16384" x14ac:dyDescent="0.2">
      <c r="XFD1048559">
        <f>solver_mni</f>
        <v>30</v>
      </c>
    </row>
    <row r="1048560" spans="16384:16384" x14ac:dyDescent="0.2">
      <c r="XFD1048560">
        <f>solver_rbv</f>
        <v>2</v>
      </c>
    </row>
    <row r="1048561" spans="16384:16384" x14ac:dyDescent="0.2">
      <c r="XFD1048561">
        <f>solver_neg</f>
        <v>1</v>
      </c>
    </row>
    <row r="1048562" spans="16384:16384" x14ac:dyDescent="0.2">
      <c r="XFD1048562" t="e" cm="1">
        <f t="array" ref="XFD1048562">solver_ntr</f>
        <v>#NAME?</v>
      </c>
    </row>
    <row r="1048563" spans="16384:16384" x14ac:dyDescent="0.2">
      <c r="XFD1048563" t="e" cm="1">
        <f t="array" ref="XFD1048563">solver_acc</f>
        <v>#NAME?</v>
      </c>
    </row>
    <row r="1048564" spans="16384:16384" x14ac:dyDescent="0.2">
      <c r="XFD1048564" t="e" cm="1">
        <f t="array" ref="XFD1048564">solver_res</f>
        <v>#NAME?</v>
      </c>
    </row>
    <row r="1048565" spans="16384:16384" x14ac:dyDescent="0.2">
      <c r="XFD1048565" t="e" cm="1">
        <f t="array" ref="XFD1048565">solver_ars</f>
        <v>#NAME?</v>
      </c>
    </row>
    <row r="1048566" spans="16384:16384" x14ac:dyDescent="0.2">
      <c r="XFD1048566" t="e" cm="1">
        <f t="array" ref="XFD1048566">solver_sta</f>
        <v>#NAME?</v>
      </c>
    </row>
    <row r="1048567" spans="16384:16384" x14ac:dyDescent="0.2">
      <c r="XFD1048567" t="e" cm="1">
        <f t="array" ref="XFD1048567">solver_met</f>
        <v>#NAME?</v>
      </c>
    </row>
    <row r="1048568" spans="16384:16384" x14ac:dyDescent="0.2">
      <c r="XFD1048568" t="e" cm="1">
        <f t="array" ref="XFD1048568">solver_soc</f>
        <v>#NAME?</v>
      </c>
    </row>
    <row r="1048569" spans="16384:16384" x14ac:dyDescent="0.2">
      <c r="XFD1048569" t="e" cm="1">
        <f t="array" ref="XFD1048569">solver_lpt</f>
        <v>#NAME?</v>
      </c>
    </row>
    <row r="1048570" spans="16384:16384" x14ac:dyDescent="0.2">
      <c r="XFD1048570" t="e" cm="1">
        <f t="array" ref="XFD1048570">solver_lpp</f>
        <v>#NAME?</v>
      </c>
    </row>
    <row r="1048571" spans="16384:16384" x14ac:dyDescent="0.2">
      <c r="XFD1048571" t="e" cm="1">
        <f t="array" ref="XFD1048571">solver_gap</f>
        <v>#NAME?</v>
      </c>
    </row>
    <row r="1048572" spans="16384:16384" x14ac:dyDescent="0.2">
      <c r="XFD1048572" t="e" cm="1">
        <f t="array" ref="XFD1048572">solver_ips</f>
        <v>#NAME?</v>
      </c>
    </row>
    <row r="1048573" spans="16384:16384" x14ac:dyDescent="0.2">
      <c r="XFD1048573" t="e" cm="1">
        <f t="array" ref="XFD1048573">solver_fea</f>
        <v>#NAME?</v>
      </c>
    </row>
    <row r="1048574" spans="16384:16384" x14ac:dyDescent="0.2">
      <c r="XFD1048574" t="e" cm="1">
        <f t="array" ref="XFD1048574">solver_ipi</f>
        <v>#NAME?</v>
      </c>
    </row>
    <row r="1048575" spans="16384:16384" x14ac:dyDescent="0.2">
      <c r="XFD1048575" t="e" cm="1">
        <f t="array" ref="XFD1048575">solver_ipd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AF94-04E0-468F-B1C7-B4B9962D5544}">
  <sheetPr codeName="Лист5"/>
  <dimension ref="A1:AF72"/>
  <sheetViews>
    <sheetView topLeftCell="F26" zoomScale="136" workbookViewId="0">
      <selection activeCell="I44" sqref="I44"/>
    </sheetView>
  </sheetViews>
  <sheetFormatPr baseColWidth="10" defaultColWidth="11" defaultRowHeight="16" x14ac:dyDescent="0.2"/>
  <cols>
    <col min="2" max="6" width="11" bestFit="1" customWidth="1"/>
    <col min="7" max="7" width="11.6640625" customWidth="1"/>
    <col min="8" max="8" width="11.6640625" bestFit="1" customWidth="1"/>
    <col min="9" max="9" width="13.33203125" customWidth="1"/>
    <col min="10" max="10" width="12" bestFit="1" customWidth="1"/>
    <col min="11" max="11" width="11.6640625" bestFit="1" customWidth="1"/>
    <col min="12" max="13" width="11.5" bestFit="1" customWidth="1"/>
    <col min="14" max="18" width="11.1640625" bestFit="1" customWidth="1"/>
    <col min="19" max="19" width="12.1640625" bestFit="1" customWidth="1"/>
    <col min="20" max="20" width="11.5" bestFit="1" customWidth="1"/>
    <col min="21" max="24" width="11.1640625" bestFit="1" customWidth="1"/>
    <col min="25" max="25" width="12.1640625" customWidth="1"/>
    <col min="26" max="27" width="11" bestFit="1" customWidth="1"/>
  </cols>
  <sheetData>
    <row r="1" spans="1:32" x14ac:dyDescent="0.2">
      <c r="A1" s="4"/>
      <c r="B1" s="4" t="s">
        <v>0</v>
      </c>
      <c r="C1" s="4" t="s">
        <v>1</v>
      </c>
      <c r="D1" s="3"/>
      <c r="E1" s="3"/>
      <c r="F1" s="4" t="s">
        <v>2</v>
      </c>
      <c r="G1" s="4" t="s">
        <v>3</v>
      </c>
    </row>
    <row r="2" spans="1:32" x14ac:dyDescent="0.2">
      <c r="A2" s="3" t="s">
        <v>4</v>
      </c>
      <c r="B2" s="3">
        <v>952</v>
      </c>
      <c r="C2" s="3">
        <v>24</v>
      </c>
      <c r="D2" s="3"/>
      <c r="E2" s="3"/>
      <c r="F2" s="3">
        <v>370000</v>
      </c>
      <c r="G2" s="3">
        <v>234500</v>
      </c>
      <c r="W2" s="1"/>
    </row>
    <row r="3" spans="1:32" x14ac:dyDescent="0.2">
      <c r="A3" s="3" t="s">
        <v>5</v>
      </c>
      <c r="B3" s="3">
        <v>1.14E-2</v>
      </c>
      <c r="C3" s="3">
        <v>1.6999999999999999E-3</v>
      </c>
      <c r="D3" s="3"/>
      <c r="E3" s="3"/>
      <c r="F3" s="3"/>
      <c r="G3" s="3"/>
      <c r="W3" s="1"/>
    </row>
    <row r="4" spans="1:32" x14ac:dyDescent="0.2">
      <c r="A4" s="3" t="s">
        <v>6</v>
      </c>
      <c r="B4" s="3">
        <v>2.9982000000000002E-2</v>
      </c>
      <c r="C4" s="3"/>
      <c r="D4" s="3"/>
      <c r="E4" s="3"/>
      <c r="F4" s="3"/>
      <c r="G4" s="3"/>
      <c r="I4" s="4" t="s">
        <v>7</v>
      </c>
      <c r="J4" s="9" t="s">
        <v>8</v>
      </c>
      <c r="K4" s="9" t="s">
        <v>9</v>
      </c>
      <c r="L4" s="9" t="s">
        <v>10</v>
      </c>
      <c r="Y4" s="3"/>
      <c r="Z4" s="3"/>
    </row>
    <row r="5" spans="1:32" x14ac:dyDescent="0.2">
      <c r="A5" s="3" t="s">
        <v>11</v>
      </c>
      <c r="B5" s="3">
        <v>2.63</v>
      </c>
      <c r="C5" s="3"/>
      <c r="D5" s="3"/>
      <c r="E5" s="3"/>
      <c r="F5" s="3"/>
      <c r="G5" s="3"/>
      <c r="H5" s="4"/>
      <c r="I5" s="8" t="s">
        <v>12</v>
      </c>
      <c r="J5" s="15">
        <v>0</v>
      </c>
      <c r="K5" s="15">
        <v>0</v>
      </c>
      <c r="L5" s="15">
        <v>0</v>
      </c>
      <c r="X5" s="3"/>
      <c r="Y5" s="3"/>
    </row>
    <row r="6" spans="1:32" x14ac:dyDescent="0.2">
      <c r="A6" s="5" t="s">
        <v>13</v>
      </c>
      <c r="B6" s="3"/>
      <c r="C6" s="3"/>
      <c r="D6" s="3"/>
      <c r="E6" s="3"/>
      <c r="F6" s="3"/>
      <c r="G6" s="3"/>
      <c r="I6" s="8" t="s">
        <v>14</v>
      </c>
      <c r="J6" s="15">
        <v>1000</v>
      </c>
      <c r="K6" s="15">
        <v>78500</v>
      </c>
      <c r="L6" s="15">
        <v>0</v>
      </c>
      <c r="P6" s="10" t="s">
        <v>19</v>
      </c>
      <c r="Q6" s="10" t="s">
        <v>20</v>
      </c>
      <c r="R6" s="10" t="s">
        <v>21</v>
      </c>
      <c r="S6" s="10" t="s">
        <v>22</v>
      </c>
      <c r="U6" s="2"/>
      <c r="W6" s="22" t="s">
        <v>49</v>
      </c>
      <c r="X6" s="23" t="s">
        <v>50</v>
      </c>
      <c r="Y6" s="23" t="s">
        <v>51</v>
      </c>
      <c r="Z6" s="23" t="s">
        <v>52</v>
      </c>
      <c r="AA6" s="23" t="s">
        <v>2</v>
      </c>
      <c r="AB6" s="24"/>
      <c r="AC6" s="2"/>
      <c r="AD6" s="2"/>
      <c r="AE6" s="2"/>
    </row>
    <row r="7" spans="1:32" x14ac:dyDescent="0.2">
      <c r="A7" s="6" t="s">
        <v>15</v>
      </c>
      <c r="B7" s="6" t="s">
        <v>16</v>
      </c>
      <c r="C7" s="6" t="s">
        <v>17</v>
      </c>
      <c r="D7" s="3" t="s">
        <v>18</v>
      </c>
      <c r="E7" s="3"/>
      <c r="F7" s="6"/>
      <c r="G7" s="3"/>
      <c r="O7" s="21" t="s">
        <v>53</v>
      </c>
      <c r="P7" s="15">
        <v>0</v>
      </c>
      <c r="Q7" s="15">
        <v>0</v>
      </c>
      <c r="R7" s="15">
        <v>0</v>
      </c>
      <c r="S7" s="15">
        <v>0</v>
      </c>
      <c r="V7" s="21" t="s">
        <v>53</v>
      </c>
      <c r="W7" s="15">
        <v>0</v>
      </c>
      <c r="X7">
        <v>7000000</v>
      </c>
      <c r="Y7">
        <v>4.7682692309999997</v>
      </c>
      <c r="Z7">
        <v>1500000</v>
      </c>
      <c r="AA7">
        <v>25000</v>
      </c>
    </row>
    <row r="8" spans="1:32" x14ac:dyDescent="0.2">
      <c r="A8" s="3" t="s">
        <v>12</v>
      </c>
      <c r="B8" s="3">
        <v>3.3436923099999998</v>
      </c>
      <c r="C8" s="3">
        <v>25.072134299999998</v>
      </c>
      <c r="D8" s="3">
        <v>121.679919</v>
      </c>
      <c r="E8" s="3"/>
      <c r="F8" s="3"/>
      <c r="G8" s="3"/>
      <c r="J8" s="10" t="s">
        <v>19</v>
      </c>
      <c r="K8" s="10" t="s">
        <v>20</v>
      </c>
      <c r="L8" s="10" t="s">
        <v>21</v>
      </c>
      <c r="M8" s="10" t="s">
        <v>22</v>
      </c>
      <c r="O8" s="21" t="s">
        <v>54</v>
      </c>
      <c r="P8" s="15">
        <v>0</v>
      </c>
      <c r="Q8" s="15">
        <v>0</v>
      </c>
      <c r="R8" s="15">
        <v>0</v>
      </c>
      <c r="S8" s="15">
        <v>50000</v>
      </c>
      <c r="V8" s="21" t="s">
        <v>54</v>
      </c>
      <c r="W8" s="15">
        <v>1</v>
      </c>
      <c r="X8">
        <v>7000000</v>
      </c>
      <c r="Y8">
        <v>4.7096153850000002</v>
      </c>
      <c r="Z8">
        <v>1500000</v>
      </c>
      <c r="AA8">
        <v>50000</v>
      </c>
    </row>
    <row r="9" spans="1:32" x14ac:dyDescent="0.2">
      <c r="A9" s="3" t="s">
        <v>14</v>
      </c>
      <c r="B9" s="3">
        <v>3.4233846200000002</v>
      </c>
      <c r="C9" s="3">
        <v>31.232343700000001</v>
      </c>
      <c r="D9" s="3">
        <v>121.46910200000001</v>
      </c>
      <c r="E9" s="3"/>
      <c r="F9" s="3"/>
      <c r="G9" s="3"/>
      <c r="I9" s="9" t="s">
        <v>8</v>
      </c>
      <c r="J9" s="15">
        <v>0</v>
      </c>
      <c r="K9" s="15">
        <v>0</v>
      </c>
      <c r="L9" s="15">
        <v>0</v>
      </c>
      <c r="M9" s="15">
        <v>1000</v>
      </c>
      <c r="O9" s="21" t="s">
        <v>55</v>
      </c>
      <c r="P9" s="15">
        <v>0</v>
      </c>
      <c r="Q9" s="15">
        <v>0</v>
      </c>
      <c r="R9" s="15">
        <v>0</v>
      </c>
      <c r="S9" s="15">
        <v>0</v>
      </c>
      <c r="V9" s="21" t="s">
        <v>55</v>
      </c>
      <c r="W9" s="15">
        <v>0</v>
      </c>
      <c r="X9">
        <v>7000000</v>
      </c>
      <c r="Y9">
        <v>7.926307692</v>
      </c>
      <c r="Z9">
        <v>1500000</v>
      </c>
      <c r="AA9">
        <v>20000</v>
      </c>
    </row>
    <row r="10" spans="1:32" x14ac:dyDescent="0.2">
      <c r="A10" s="3"/>
      <c r="B10" s="3"/>
      <c r="C10" s="3"/>
      <c r="D10" s="3"/>
      <c r="E10" s="3"/>
      <c r="F10" s="3"/>
      <c r="G10" s="3"/>
      <c r="I10" s="9" t="s">
        <v>9</v>
      </c>
      <c r="J10" s="15">
        <v>16500</v>
      </c>
      <c r="K10" s="15">
        <v>62000</v>
      </c>
      <c r="L10" s="15">
        <v>0</v>
      </c>
      <c r="M10" s="15">
        <v>0</v>
      </c>
      <c r="O10" s="21" t="s">
        <v>56</v>
      </c>
      <c r="P10" s="15">
        <v>0</v>
      </c>
      <c r="Q10" s="15">
        <v>0</v>
      </c>
      <c r="R10" s="15">
        <v>60000</v>
      </c>
      <c r="S10" s="15">
        <v>0</v>
      </c>
      <c r="V10" s="21" t="s">
        <v>56</v>
      </c>
      <c r="W10" s="15">
        <v>1</v>
      </c>
      <c r="X10">
        <v>7000000</v>
      </c>
      <c r="Y10">
        <v>4.841307692</v>
      </c>
      <c r="Z10">
        <v>1500000</v>
      </c>
      <c r="AA10">
        <v>60000</v>
      </c>
    </row>
    <row r="11" spans="1:32" x14ac:dyDescent="0.2">
      <c r="A11" s="7" t="s">
        <v>23</v>
      </c>
      <c r="B11" s="3"/>
      <c r="C11" s="3"/>
      <c r="D11" s="3"/>
      <c r="E11" s="3"/>
      <c r="F11" s="3"/>
      <c r="G11" s="3"/>
      <c r="I11" s="9" t="s">
        <v>10</v>
      </c>
      <c r="J11" s="15">
        <v>0</v>
      </c>
      <c r="K11" s="15">
        <v>0</v>
      </c>
      <c r="L11" s="15">
        <v>0</v>
      </c>
      <c r="M11" s="15">
        <v>0</v>
      </c>
      <c r="O11" s="21" t="s">
        <v>57</v>
      </c>
      <c r="P11" s="15">
        <v>0</v>
      </c>
      <c r="Q11" s="15">
        <v>0</v>
      </c>
      <c r="R11" s="15">
        <v>0</v>
      </c>
      <c r="S11" s="15">
        <v>45000</v>
      </c>
      <c r="V11" s="21" t="s">
        <v>57</v>
      </c>
      <c r="W11" s="15">
        <v>1</v>
      </c>
      <c r="X11">
        <v>7000000</v>
      </c>
      <c r="Y11">
        <v>4.3022692310000004</v>
      </c>
      <c r="Z11">
        <v>1500000</v>
      </c>
      <c r="AA11">
        <v>45000</v>
      </c>
    </row>
    <row r="12" spans="1:32" x14ac:dyDescent="0.2">
      <c r="A12" s="3" t="s">
        <v>15</v>
      </c>
      <c r="B12" s="3" t="s">
        <v>24</v>
      </c>
      <c r="C12" s="3" t="s">
        <v>17</v>
      </c>
      <c r="D12" s="3" t="s">
        <v>18</v>
      </c>
      <c r="E12" s="3"/>
      <c r="F12" s="3"/>
      <c r="G12" s="3"/>
      <c r="Y12" s="3"/>
      <c r="Z12" s="3"/>
    </row>
    <row r="13" spans="1:32" x14ac:dyDescent="0.2">
      <c r="A13" s="3" t="s">
        <v>8</v>
      </c>
      <c r="B13" s="3">
        <v>6.5338846200000003</v>
      </c>
      <c r="C13" s="3">
        <v>48.110300000000002</v>
      </c>
      <c r="D13" s="3">
        <v>16.569600000000001</v>
      </c>
      <c r="E13" s="3"/>
      <c r="F13" s="3"/>
      <c r="G13" s="3"/>
      <c r="J13" s="11" t="s">
        <v>25</v>
      </c>
      <c r="K13" s="11" t="s">
        <v>26</v>
      </c>
      <c r="L13" s="11" t="s">
        <v>27</v>
      </c>
      <c r="M13" s="11" t="s">
        <v>28</v>
      </c>
      <c r="N13" s="11" t="s">
        <v>29</v>
      </c>
      <c r="O13" s="11" t="s">
        <v>30</v>
      </c>
      <c r="P13" s="11" t="s">
        <v>31</v>
      </c>
      <c r="Q13" s="11" t="s">
        <v>32</v>
      </c>
      <c r="R13" s="11" t="s">
        <v>33</v>
      </c>
      <c r="S13" s="11" t="s">
        <v>34</v>
      </c>
      <c r="T13" s="11" t="s">
        <v>35</v>
      </c>
      <c r="U13" s="11" t="s">
        <v>36</v>
      </c>
      <c r="Y13" s="3"/>
      <c r="Z13" s="3"/>
      <c r="AF13" s="20"/>
    </row>
    <row r="14" spans="1:32" x14ac:dyDescent="0.2">
      <c r="A14" s="3" t="s">
        <v>9</v>
      </c>
      <c r="B14" s="3">
        <v>4.3022692300000003</v>
      </c>
      <c r="C14" s="3">
        <v>54.361699999999999</v>
      </c>
      <c r="D14" s="3">
        <v>18.651399999999999</v>
      </c>
      <c r="E14" s="3"/>
      <c r="F14" s="3"/>
      <c r="G14" s="3"/>
      <c r="I14" s="10" t="s">
        <v>19</v>
      </c>
      <c r="J14" s="15">
        <v>0</v>
      </c>
      <c r="K14" s="15">
        <v>0</v>
      </c>
      <c r="L14" s="15">
        <v>0</v>
      </c>
      <c r="M14" s="15">
        <v>0</v>
      </c>
      <c r="N14" s="15">
        <v>16500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X14" s="34"/>
    </row>
    <row r="15" spans="1:32" x14ac:dyDescent="0.2">
      <c r="A15" s="3" t="s">
        <v>10</v>
      </c>
      <c r="B15" s="3">
        <v>5.6759230799999996</v>
      </c>
      <c r="C15" s="3">
        <v>49.009700000000002</v>
      </c>
      <c r="D15" s="3">
        <v>2.5478999999999998</v>
      </c>
      <c r="E15" s="3"/>
      <c r="F15" s="4"/>
      <c r="G15" s="4"/>
      <c r="I15" s="10" t="s">
        <v>20</v>
      </c>
      <c r="J15" s="15">
        <v>7000</v>
      </c>
      <c r="K15" s="15">
        <v>0</v>
      </c>
      <c r="L15" s="15">
        <v>0</v>
      </c>
      <c r="M15" s="15">
        <v>3000</v>
      </c>
      <c r="N15" s="15">
        <v>0</v>
      </c>
      <c r="O15" s="15">
        <v>6500</v>
      </c>
      <c r="P15" s="15">
        <v>500</v>
      </c>
      <c r="Q15" s="15">
        <v>0</v>
      </c>
      <c r="R15" s="15">
        <v>0</v>
      </c>
      <c r="S15" s="15">
        <v>1000</v>
      </c>
      <c r="T15" s="15">
        <v>44000</v>
      </c>
      <c r="U15" s="15">
        <v>0</v>
      </c>
    </row>
    <row r="16" spans="1:32" x14ac:dyDescent="0.2">
      <c r="A16" s="4"/>
      <c r="B16" s="3"/>
      <c r="C16" s="3"/>
      <c r="D16" s="3"/>
      <c r="E16" s="3"/>
      <c r="F16" s="3"/>
      <c r="G16" s="3"/>
      <c r="I16" s="10" t="s">
        <v>21</v>
      </c>
      <c r="J16" s="15">
        <v>0</v>
      </c>
      <c r="K16" s="15">
        <v>6000</v>
      </c>
      <c r="L16" s="15">
        <v>18500</v>
      </c>
      <c r="M16" s="15">
        <v>0</v>
      </c>
      <c r="N16" s="15">
        <v>0</v>
      </c>
      <c r="O16" s="15">
        <v>0</v>
      </c>
      <c r="P16" s="15">
        <v>0</v>
      </c>
      <c r="Q16" s="15">
        <v>22000</v>
      </c>
      <c r="R16" s="15">
        <v>13000</v>
      </c>
      <c r="S16" s="15">
        <v>0</v>
      </c>
      <c r="T16" s="15">
        <v>0</v>
      </c>
      <c r="U16" s="15">
        <v>500</v>
      </c>
    </row>
    <row r="17" spans="1:26" x14ac:dyDescent="0.2">
      <c r="A17" s="13" t="s">
        <v>37</v>
      </c>
      <c r="F17" s="3"/>
      <c r="G17" s="3"/>
      <c r="I17" s="10" t="s">
        <v>22</v>
      </c>
      <c r="J17" s="15">
        <v>0</v>
      </c>
      <c r="K17" s="15">
        <v>0</v>
      </c>
      <c r="L17" s="15">
        <v>96000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</row>
    <row r="18" spans="1:26" x14ac:dyDescent="0.2">
      <c r="A18" s="3" t="s">
        <v>15</v>
      </c>
      <c r="B18" s="3" t="s">
        <v>24</v>
      </c>
      <c r="C18" s="3" t="s">
        <v>17</v>
      </c>
      <c r="D18" s="3" t="s">
        <v>18</v>
      </c>
      <c r="E18" s="3" t="s">
        <v>38</v>
      </c>
      <c r="F18" s="3"/>
      <c r="G18" s="3"/>
    </row>
    <row r="19" spans="1:26" x14ac:dyDescent="0.2">
      <c r="A19" s="3" t="s">
        <v>19</v>
      </c>
      <c r="B19" s="3">
        <v>4.7682692299999996</v>
      </c>
      <c r="C19" s="3">
        <v>50.029000000000003</v>
      </c>
      <c r="D19" s="3">
        <v>15.808999999999999</v>
      </c>
      <c r="E19" s="3">
        <v>45000</v>
      </c>
      <c r="F19" s="3"/>
      <c r="G19" s="3"/>
      <c r="I19" s="4" t="s">
        <v>39</v>
      </c>
      <c r="J19" s="9" t="s">
        <v>8</v>
      </c>
      <c r="K19" s="9" t="s">
        <v>9</v>
      </c>
      <c r="L19" s="9" t="s">
        <v>10</v>
      </c>
    </row>
    <row r="20" spans="1:26" x14ac:dyDescent="0.2">
      <c r="A20" s="3" t="s">
        <v>20</v>
      </c>
      <c r="B20" s="3">
        <v>5.6759230799999996</v>
      </c>
      <c r="C20" s="3">
        <v>50.334299999999999</v>
      </c>
      <c r="D20" s="3">
        <v>2.9289999999999998</v>
      </c>
      <c r="E20" s="3">
        <v>150000</v>
      </c>
      <c r="F20" s="3"/>
      <c r="G20" s="3"/>
      <c r="H20" s="3"/>
      <c r="I20" s="8" t="s">
        <v>12</v>
      </c>
      <c r="J20" cm="1">
        <f t="array" ref="J20:L21">(B41:D42*B4+B8:B9)*J5:L6</f>
        <v>0</v>
      </c>
      <c r="K20">
        <v>0</v>
      </c>
      <c r="L20">
        <v>0</v>
      </c>
      <c r="Y20" s="3"/>
      <c r="Z20" s="3"/>
    </row>
    <row r="21" spans="1:26" x14ac:dyDescent="0.2">
      <c r="A21" s="3" t="s">
        <v>21</v>
      </c>
      <c r="B21" s="3">
        <v>4.42603846</v>
      </c>
      <c r="C21" s="3">
        <v>56.896000000000001</v>
      </c>
      <c r="D21" s="3">
        <v>24.045999999999999</v>
      </c>
      <c r="E21" s="3">
        <v>75000</v>
      </c>
      <c r="F21" s="3"/>
      <c r="G21" s="3"/>
      <c r="H21" s="3"/>
      <c r="I21" s="8" t="s">
        <v>14</v>
      </c>
      <c r="J21">
        <v>257412.05722562</v>
      </c>
      <c r="K21">
        <v>19088340.068519443</v>
      </c>
      <c r="L21">
        <v>0</v>
      </c>
      <c r="P21" s="10" t="s">
        <v>19</v>
      </c>
      <c r="Q21" s="10" t="s">
        <v>20</v>
      </c>
      <c r="R21" s="10" t="s">
        <v>21</v>
      </c>
      <c r="S21" s="10" t="s">
        <v>22</v>
      </c>
      <c r="T21" s="26" t="s">
        <v>58</v>
      </c>
      <c r="Y21" s="3"/>
      <c r="Z21" s="3"/>
    </row>
    <row r="22" spans="1:26" x14ac:dyDescent="0.2">
      <c r="A22" s="3" t="s">
        <v>22</v>
      </c>
      <c r="B22" s="3">
        <v>7.0865</v>
      </c>
      <c r="C22" s="3">
        <v>38.043999999999997</v>
      </c>
      <c r="D22" s="3">
        <v>23.798999999999999</v>
      </c>
      <c r="E22" s="3">
        <v>100000</v>
      </c>
      <c r="F22" s="3"/>
      <c r="G22" s="3"/>
      <c r="H22" s="4"/>
      <c r="O22" s="21" t="s">
        <v>53</v>
      </c>
      <c r="P22" cm="1">
        <f t="array" ref="P22:S26">(B48:E52*B4+Y7:Y11)*P7:S11</f>
        <v>0</v>
      </c>
      <c r="Q22">
        <v>0</v>
      </c>
      <c r="R22">
        <v>0</v>
      </c>
      <c r="S22">
        <v>0</v>
      </c>
      <c r="T22" cm="1">
        <f t="array" ref="T22:T26">W7:W11*(X7:X11+Z7:Z11)</f>
        <v>0</v>
      </c>
    </row>
    <row r="23" spans="1:26" x14ac:dyDescent="0.2">
      <c r="A23" s="3"/>
      <c r="B23" s="3"/>
      <c r="C23" s="3"/>
      <c r="D23" s="3"/>
      <c r="E23" s="3"/>
      <c r="F23" s="3"/>
      <c r="G23" s="3"/>
      <c r="H23" s="3"/>
      <c r="J23" s="10" t="s">
        <v>19</v>
      </c>
      <c r="K23" s="10" t="s">
        <v>20</v>
      </c>
      <c r="L23" s="10" t="s">
        <v>21</v>
      </c>
      <c r="M23" s="10" t="s">
        <v>22</v>
      </c>
      <c r="O23" s="21" t="s">
        <v>54</v>
      </c>
      <c r="P23">
        <v>0</v>
      </c>
      <c r="Q23">
        <v>0</v>
      </c>
      <c r="R23">
        <v>0</v>
      </c>
      <c r="S23">
        <v>1915198.5138536333</v>
      </c>
      <c r="T23">
        <v>8500000</v>
      </c>
      <c r="W23" s="1"/>
    </row>
    <row r="24" spans="1:26" x14ac:dyDescent="0.2">
      <c r="A24" s="12" t="s">
        <v>40</v>
      </c>
      <c r="B24" s="3"/>
      <c r="C24" s="3"/>
      <c r="D24" s="3"/>
      <c r="E24" s="3"/>
      <c r="F24" s="3"/>
      <c r="G24" s="3"/>
      <c r="H24" s="3"/>
      <c r="I24" s="9" t="s">
        <v>8</v>
      </c>
      <c r="J24" cm="1">
        <f t="array" ref="J24:M26">(B45:E47*B4+B13:B15)*J9:M11</f>
        <v>0</v>
      </c>
      <c r="K24">
        <v>0</v>
      </c>
      <c r="L24">
        <v>0</v>
      </c>
      <c r="M24">
        <v>44401.817719500003</v>
      </c>
      <c r="O24" s="21" t="s">
        <v>55</v>
      </c>
      <c r="P24">
        <v>0</v>
      </c>
      <c r="Q24">
        <v>0</v>
      </c>
      <c r="R24">
        <v>0</v>
      </c>
      <c r="S24">
        <v>0</v>
      </c>
      <c r="T24">
        <v>0</v>
      </c>
      <c r="Z24" s="3"/>
    </row>
    <row r="25" spans="1:26" x14ac:dyDescent="0.2">
      <c r="A25" s="3" t="s">
        <v>15</v>
      </c>
      <c r="B25" s="3" t="s">
        <v>3</v>
      </c>
      <c r="C25" s="3" t="s">
        <v>17</v>
      </c>
      <c r="D25" s="3" t="s">
        <v>18</v>
      </c>
      <c r="E25" s="3"/>
      <c r="F25" s="3"/>
      <c r="G25" s="3"/>
      <c r="H25" s="3"/>
      <c r="I25" s="9" t="s">
        <v>9</v>
      </c>
      <c r="J25">
        <v>327898.58652992104</v>
      </c>
      <c r="K25">
        <v>2414187.2673700401</v>
      </c>
      <c r="L25">
        <v>0</v>
      </c>
      <c r="M25">
        <v>0</v>
      </c>
      <c r="N25">
        <f>SUM(J25:K25)</f>
        <v>2742085.8538999613</v>
      </c>
      <c r="O25" s="21" t="s">
        <v>56</v>
      </c>
      <c r="P25">
        <v>0</v>
      </c>
      <c r="Q25">
        <v>0</v>
      </c>
      <c r="R25">
        <v>952146.87525128992</v>
      </c>
      <c r="S25">
        <v>0</v>
      </c>
      <c r="T25">
        <v>8500000</v>
      </c>
      <c r="Z25" s="3"/>
    </row>
    <row r="26" spans="1:26" x14ac:dyDescent="0.2">
      <c r="A26" s="3" t="s">
        <v>25</v>
      </c>
      <c r="B26" s="3">
        <v>7000</v>
      </c>
      <c r="C26" s="3">
        <v>47.9556915</v>
      </c>
      <c r="D26" s="3">
        <v>-1.495366</v>
      </c>
      <c r="E26" s="3"/>
      <c r="F26" s="3"/>
      <c r="G26" s="3"/>
      <c r="H26" s="3"/>
      <c r="I26" s="9" t="s">
        <v>10</v>
      </c>
      <c r="J26">
        <v>0</v>
      </c>
      <c r="K26">
        <v>0</v>
      </c>
      <c r="L26">
        <v>0</v>
      </c>
      <c r="M26">
        <v>0</v>
      </c>
      <c r="O26" s="21" t="s">
        <v>57</v>
      </c>
      <c r="P26">
        <v>0</v>
      </c>
      <c r="Q26">
        <v>0</v>
      </c>
      <c r="R26">
        <v>0</v>
      </c>
      <c r="S26">
        <v>2342376.609699951</v>
      </c>
      <c r="T26">
        <v>8500000</v>
      </c>
      <c r="Z26" s="3"/>
    </row>
    <row r="27" spans="1:26" x14ac:dyDescent="0.2">
      <c r="A27" s="3" t="s">
        <v>26</v>
      </c>
      <c r="B27" s="3">
        <v>6000</v>
      </c>
      <c r="C27" s="3">
        <v>35.773417600000002</v>
      </c>
      <c r="D27" s="3">
        <v>27.1814307</v>
      </c>
      <c r="E27" s="3"/>
      <c r="F27" s="3"/>
      <c r="G27" s="3"/>
      <c r="H27" s="3"/>
    </row>
    <row r="28" spans="1:26" x14ac:dyDescent="0.2">
      <c r="A28" s="3" t="s">
        <v>27</v>
      </c>
      <c r="B28" s="3">
        <v>114500</v>
      </c>
      <c r="C28" s="3">
        <v>37.983941199999997</v>
      </c>
      <c r="D28" s="3">
        <v>23.728305200000001</v>
      </c>
      <c r="E28" s="3"/>
      <c r="F28" s="3"/>
      <c r="G28" s="3"/>
      <c r="H28" s="3"/>
      <c r="J28" s="11" t="s">
        <v>25</v>
      </c>
      <c r="K28" s="11" t="s">
        <v>26</v>
      </c>
      <c r="L28" s="11" t="s">
        <v>27</v>
      </c>
      <c r="M28" s="11" t="s">
        <v>28</v>
      </c>
      <c r="N28" s="11" t="s">
        <v>29</v>
      </c>
      <c r="O28" s="11" t="s">
        <v>30</v>
      </c>
      <c r="P28" s="11" t="s">
        <v>31</v>
      </c>
      <c r="Q28" s="11" t="s">
        <v>32</v>
      </c>
      <c r="R28" s="11" t="s">
        <v>33</v>
      </c>
      <c r="S28" s="11" t="s">
        <v>34</v>
      </c>
      <c r="T28" s="11" t="s">
        <v>35</v>
      </c>
      <c r="U28" s="11" t="s">
        <v>36</v>
      </c>
    </row>
    <row r="29" spans="1:26" x14ac:dyDescent="0.2">
      <c r="A29" s="3" t="s">
        <v>28</v>
      </c>
      <c r="B29" s="3">
        <v>3000</v>
      </c>
      <c r="C29" s="3">
        <v>45.747956299999998</v>
      </c>
      <c r="D29" s="3">
        <v>-0.33856140000000001</v>
      </c>
      <c r="E29" s="3"/>
      <c r="F29" s="3"/>
      <c r="G29" s="3"/>
      <c r="H29" s="3"/>
      <c r="I29" s="10" t="s">
        <v>19</v>
      </c>
      <c r="J29" cm="1">
        <f t="array" ref="J29:U32">(B55:M58*B4+B19:B22)*J14:U17</f>
        <v>0</v>
      </c>
      <c r="K29">
        <v>0</v>
      </c>
      <c r="L29">
        <v>0</v>
      </c>
      <c r="M29">
        <v>0</v>
      </c>
      <c r="N29">
        <v>257683.13188015201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6" x14ac:dyDescent="0.2">
      <c r="A30" s="3" t="s">
        <v>29</v>
      </c>
      <c r="B30" s="3">
        <v>16500</v>
      </c>
      <c r="C30" s="3">
        <v>48.224243399999999</v>
      </c>
      <c r="D30" s="3">
        <v>11.6715263</v>
      </c>
      <c r="E30" s="3"/>
      <c r="F30" s="3"/>
      <c r="G30" s="3"/>
      <c r="H30" s="3"/>
      <c r="I30" s="10" t="s">
        <v>20</v>
      </c>
      <c r="J30">
        <v>127157.72028241798</v>
      </c>
      <c r="K30">
        <v>0</v>
      </c>
      <c r="L30">
        <v>0</v>
      </c>
      <c r="M30">
        <v>67839.971005566011</v>
      </c>
      <c r="N30">
        <v>0</v>
      </c>
      <c r="O30">
        <v>97715.102989296007</v>
      </c>
      <c r="P30">
        <v>5422.1218579529996</v>
      </c>
      <c r="Q30">
        <v>0</v>
      </c>
      <c r="R30">
        <v>0</v>
      </c>
      <c r="S30">
        <v>47296.114273020001</v>
      </c>
      <c r="T30">
        <v>2342182.3195663202</v>
      </c>
      <c r="U30">
        <v>0</v>
      </c>
    </row>
    <row r="31" spans="1:26" x14ac:dyDescent="0.2">
      <c r="A31" s="3" t="s">
        <v>30</v>
      </c>
      <c r="B31" s="3">
        <v>6500</v>
      </c>
      <c r="C31" s="3">
        <v>51.783499399999997</v>
      </c>
      <c r="D31" s="3">
        <v>-0.89464410000000005</v>
      </c>
      <c r="E31" s="3"/>
      <c r="F31" s="3"/>
      <c r="G31" s="3"/>
      <c r="H31" s="3"/>
      <c r="I31" s="10" t="s">
        <v>21</v>
      </c>
      <c r="J31">
        <v>0</v>
      </c>
      <c r="K31">
        <v>451310.82959724008</v>
      </c>
      <c r="L31">
        <v>1248743.1436284201</v>
      </c>
      <c r="M31">
        <v>0</v>
      </c>
      <c r="N31">
        <v>0</v>
      </c>
      <c r="O31">
        <v>0</v>
      </c>
      <c r="P31">
        <v>0</v>
      </c>
      <c r="Q31">
        <v>719564.86248658004</v>
      </c>
      <c r="R31">
        <v>144217.96749614799</v>
      </c>
      <c r="S31">
        <v>0</v>
      </c>
      <c r="T31">
        <v>0</v>
      </c>
      <c r="U31">
        <v>12915.680068226</v>
      </c>
    </row>
    <row r="32" spans="1:26" x14ac:dyDescent="0.2">
      <c r="A32" s="3" t="s">
        <v>31</v>
      </c>
      <c r="B32" s="3">
        <v>500</v>
      </c>
      <c r="C32" s="3">
        <v>48.785892099999998</v>
      </c>
      <c r="D32" s="3">
        <v>3.0292059</v>
      </c>
      <c r="E32" s="3"/>
      <c r="F32" s="3"/>
      <c r="G32" s="3"/>
      <c r="H32" s="3"/>
      <c r="I32" s="10" t="s">
        <v>22</v>
      </c>
      <c r="J32">
        <v>0</v>
      </c>
      <c r="K32">
        <v>0</v>
      </c>
      <c r="L32">
        <v>706527.53824211331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3" x14ac:dyDescent="0.2">
      <c r="A33" s="3" t="s">
        <v>32</v>
      </c>
      <c r="B33" s="3">
        <v>22000</v>
      </c>
      <c r="C33" s="3">
        <v>53.6736529</v>
      </c>
      <c r="D33" s="3">
        <v>10.2358999</v>
      </c>
      <c r="E33" s="3"/>
      <c r="F33" s="3"/>
      <c r="G33" s="3"/>
      <c r="H33" s="3"/>
      <c r="I33" s="3"/>
      <c r="J33" s="3"/>
      <c r="K33" s="3"/>
      <c r="L33" s="3"/>
      <c r="M33" s="3"/>
    </row>
    <row r="34" spans="1:23" x14ac:dyDescent="0.2">
      <c r="A34" s="3" t="s">
        <v>33</v>
      </c>
      <c r="B34" s="3">
        <v>13000</v>
      </c>
      <c r="C34" s="3">
        <v>54.898213900000002</v>
      </c>
      <c r="D34" s="3">
        <v>23.904481700000002</v>
      </c>
      <c r="E34" s="3"/>
      <c r="F34" s="3"/>
      <c r="G34" s="3"/>
      <c r="H34" s="3"/>
      <c r="I34" s="4" t="s">
        <v>41</v>
      </c>
      <c r="J34" s="3"/>
      <c r="K34" s="3"/>
      <c r="L34" s="3"/>
      <c r="M34" s="3"/>
    </row>
    <row r="35" spans="1:23" x14ac:dyDescent="0.2">
      <c r="A35" s="3" t="s">
        <v>34</v>
      </c>
      <c r="B35" s="3">
        <v>1000</v>
      </c>
      <c r="C35" s="3">
        <v>40.713449099999998</v>
      </c>
      <c r="D35" s="3">
        <v>-8.4825639000000006</v>
      </c>
      <c r="E35" s="3"/>
      <c r="F35" s="3"/>
      <c r="G35" s="3"/>
      <c r="H35" s="3"/>
      <c r="I35" s="14">
        <f>SUM(_xlfn.ANCHORARRAY(J20),_xlfn.ANCHORARRAY(J24),_xlfn.ANCHORARRAY(J29),P22:T26)</f>
        <v>59070538.299542844</v>
      </c>
      <c r="J35" s="3"/>
      <c r="K35" s="3"/>
      <c r="L35" s="3"/>
      <c r="M35" s="3"/>
    </row>
    <row r="36" spans="1:23" x14ac:dyDescent="0.2">
      <c r="A36" s="3" t="s">
        <v>35</v>
      </c>
      <c r="B36" s="3">
        <v>44000</v>
      </c>
      <c r="C36" s="3">
        <v>38.8735511</v>
      </c>
      <c r="D36" s="3">
        <v>-9.0785503999999992</v>
      </c>
      <c r="E36" s="3"/>
      <c r="F36" s="3"/>
      <c r="G36" s="3"/>
      <c r="H36" s="3"/>
      <c r="I36" s="3"/>
      <c r="J36" s="3"/>
      <c r="K36" s="3"/>
      <c r="L36" s="3"/>
      <c r="M36" s="3"/>
    </row>
    <row r="37" spans="1:23" x14ac:dyDescent="0.2">
      <c r="A37" s="3" t="s">
        <v>36</v>
      </c>
      <c r="B37" s="3">
        <v>500</v>
      </c>
      <c r="C37" s="3">
        <v>63.246777700000003</v>
      </c>
      <c r="D37" s="3">
        <v>25.920916399999999</v>
      </c>
      <c r="E37" s="3"/>
      <c r="F37" s="3"/>
      <c r="G37" s="3"/>
      <c r="H37" s="3"/>
      <c r="I37" s="3"/>
      <c r="J37" s="3"/>
      <c r="K37" s="3"/>
      <c r="L37" s="3"/>
      <c r="M37" s="3"/>
      <c r="O37" s="1" t="s">
        <v>42</v>
      </c>
      <c r="T37" s="1" t="s">
        <v>59</v>
      </c>
    </row>
    <row r="38" spans="1:2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O38" s="1" t="s">
        <v>43</v>
      </c>
      <c r="T38" s="1" t="s">
        <v>60</v>
      </c>
    </row>
    <row r="39" spans="1:23" x14ac:dyDescent="0.2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O39">
        <f>SUM(J9:J11, P7:P11)</f>
        <v>16500</v>
      </c>
      <c r="P39" t="s">
        <v>44</v>
      </c>
      <c r="Q39" s="3">
        <v>45000</v>
      </c>
      <c r="R39" s="3" t="s">
        <v>19</v>
      </c>
      <c r="T39">
        <f>SUM(P7:S7)</f>
        <v>0</v>
      </c>
      <c r="U39" t="s">
        <v>44</v>
      </c>
      <c r="V39" cm="1">
        <f t="array" ref="V39:V43">AA7:AA11</f>
        <v>25000</v>
      </c>
      <c r="W39" t="s">
        <v>53</v>
      </c>
    </row>
    <row r="40" spans="1:23" x14ac:dyDescent="0.2">
      <c r="A40" s="4" t="s">
        <v>45</v>
      </c>
      <c r="B40" s="9" t="s">
        <v>8</v>
      </c>
      <c r="C40" s="9" t="s">
        <v>9</v>
      </c>
      <c r="D40" s="9" t="s">
        <v>10</v>
      </c>
      <c r="O40">
        <f>SUM(K9:K11,Q7:Q11)</f>
        <v>62000</v>
      </c>
      <c r="P40" t="s">
        <v>44</v>
      </c>
      <c r="Q40" s="3">
        <v>150000</v>
      </c>
      <c r="R40" s="3" t="s">
        <v>20</v>
      </c>
      <c r="T40">
        <f>SUM(P8:S8)</f>
        <v>50000</v>
      </c>
      <c r="U40" t="s">
        <v>44</v>
      </c>
      <c r="V40">
        <v>50000</v>
      </c>
      <c r="W40" t="s">
        <v>54</v>
      </c>
    </row>
    <row r="41" spans="1:23" x14ac:dyDescent="0.2">
      <c r="A41" s="8" t="s">
        <v>12</v>
      </c>
      <c r="B41" s="3">
        <v>9000.7708299999995</v>
      </c>
      <c r="C41" s="3">
        <v>8561.6520600000003</v>
      </c>
      <c r="D41" s="3">
        <v>9815.4661699999997</v>
      </c>
      <c r="O41">
        <f>SUM(L9:L11,R7:R11)</f>
        <v>60000</v>
      </c>
      <c r="P41" t="s">
        <v>44</v>
      </c>
      <c r="Q41" s="3">
        <v>75000</v>
      </c>
      <c r="R41" s="3" t="s">
        <v>21</v>
      </c>
      <c r="T41">
        <f>SUM(P9:S9)</f>
        <v>0</v>
      </c>
      <c r="U41" t="s">
        <v>44</v>
      </c>
      <c r="V41">
        <v>20000</v>
      </c>
      <c r="W41" t="s">
        <v>55</v>
      </c>
    </row>
    <row r="42" spans="1:23" x14ac:dyDescent="0.2">
      <c r="A42" s="8" t="s">
        <v>14</v>
      </c>
      <c r="B42" s="3">
        <v>8471.3719099999998</v>
      </c>
      <c r="C42" s="3">
        <v>7996.1371200000003</v>
      </c>
      <c r="D42" s="3">
        <v>9243.1630600000008</v>
      </c>
      <c r="O42">
        <f>SUM(M9:M11,S7:S11)</f>
        <v>96000</v>
      </c>
      <c r="P42" t="s">
        <v>44</v>
      </c>
      <c r="Q42" s="3">
        <v>100000</v>
      </c>
      <c r="R42" s="3" t="s">
        <v>22</v>
      </c>
      <c r="T42">
        <f>SUM(P10:S10)</f>
        <v>60000</v>
      </c>
      <c r="U42" t="s">
        <v>44</v>
      </c>
      <c r="V42">
        <v>60000</v>
      </c>
      <c r="W42" t="s">
        <v>56</v>
      </c>
    </row>
    <row r="43" spans="1:23" x14ac:dyDescent="0.2">
      <c r="T43">
        <f>SUM(P11:S11)</f>
        <v>45000</v>
      </c>
      <c r="U43" t="s">
        <v>44</v>
      </c>
      <c r="V43">
        <v>45000</v>
      </c>
      <c r="W43" t="s">
        <v>57</v>
      </c>
    </row>
    <row r="44" spans="1:23" x14ac:dyDescent="0.2">
      <c r="B44" s="10" t="s">
        <v>19</v>
      </c>
      <c r="C44" s="10" t="s">
        <v>20</v>
      </c>
      <c r="D44" s="10" t="s">
        <v>21</v>
      </c>
      <c r="E44" s="10" t="s">
        <v>22</v>
      </c>
      <c r="O44" s="1" t="s">
        <v>46</v>
      </c>
    </row>
    <row r="45" spans="1:23" x14ac:dyDescent="0.2">
      <c r="A45" s="9" t="s">
        <v>8</v>
      </c>
      <c r="B45" s="3">
        <v>220.49319199999999</v>
      </c>
      <c r="C45" s="3">
        <v>1019.75143</v>
      </c>
      <c r="D45" s="3">
        <v>1099.06143</v>
      </c>
      <c r="E45" s="3">
        <v>1263.02225</v>
      </c>
      <c r="O45">
        <f>SUM(J14:J17)</f>
        <v>7000</v>
      </c>
      <c r="P45" t="s">
        <v>47</v>
      </c>
      <c r="Q45" s="3">
        <v>7000</v>
      </c>
      <c r="R45" s="3" t="s">
        <v>25</v>
      </c>
      <c r="T45" s="1" t="s">
        <v>61</v>
      </c>
    </row>
    <row r="46" spans="1:23" x14ac:dyDescent="0.2">
      <c r="A46" s="9" t="s">
        <v>9</v>
      </c>
      <c r="B46" s="3">
        <v>519.32400700000005</v>
      </c>
      <c r="C46" s="3">
        <v>1155.2343100000001</v>
      </c>
      <c r="D46" s="3">
        <v>440.47644400000001</v>
      </c>
      <c r="E46" s="3">
        <v>1856.5320200000001</v>
      </c>
      <c r="O46">
        <f>SUM(K14:K17)</f>
        <v>6000</v>
      </c>
      <c r="P46" t="s">
        <v>47</v>
      </c>
      <c r="Q46" s="3">
        <v>6000</v>
      </c>
      <c r="R46" s="3" t="s">
        <v>26</v>
      </c>
      <c r="T46">
        <f>SUM(P7:S7) - 240000*W7</f>
        <v>0</v>
      </c>
      <c r="U46" t="s">
        <v>44</v>
      </c>
      <c r="V46">
        <v>0</v>
      </c>
      <c r="W46" t="s">
        <v>53</v>
      </c>
    </row>
    <row r="47" spans="1:23" x14ac:dyDescent="0.2">
      <c r="A47" s="9" t="s">
        <v>10</v>
      </c>
      <c r="B47" s="3">
        <v>962.97049100000004</v>
      </c>
      <c r="C47" s="3">
        <v>149.866636</v>
      </c>
      <c r="D47" s="3">
        <v>1675.98143</v>
      </c>
      <c r="E47" s="3">
        <v>2091.80017</v>
      </c>
      <c r="G47" t="s">
        <v>62</v>
      </c>
      <c r="H47" s="37" t="s">
        <v>19</v>
      </c>
      <c r="I47" s="37" t="s">
        <v>20</v>
      </c>
      <c r="J47" s="37" t="s">
        <v>21</v>
      </c>
      <c r="K47" s="37" t="s">
        <v>22</v>
      </c>
      <c r="O47">
        <f>SUM(L14:L17)</f>
        <v>114500</v>
      </c>
      <c r="P47" t="s">
        <v>47</v>
      </c>
      <c r="Q47" s="3">
        <v>114500</v>
      </c>
      <c r="R47" s="3" t="s">
        <v>27</v>
      </c>
      <c r="T47">
        <f>SUM(P8:S8) - 240000*W8</f>
        <v>-190000</v>
      </c>
      <c r="U47" t="s">
        <v>44</v>
      </c>
      <c r="V47">
        <v>0</v>
      </c>
      <c r="W47" t="s">
        <v>54</v>
      </c>
    </row>
    <row r="48" spans="1:23" x14ac:dyDescent="0.2">
      <c r="A48" s="21" t="s">
        <v>53</v>
      </c>
      <c r="B48">
        <v>98.065420090407898</v>
      </c>
      <c r="C48">
        <v>819.022410170645</v>
      </c>
      <c r="D48">
        <v>988.03782801968202</v>
      </c>
      <c r="E48">
        <v>1530.47935919308</v>
      </c>
      <c r="G48" s="21" t="s">
        <v>53</v>
      </c>
      <c r="H48" s="36">
        <v>98.065420090407898</v>
      </c>
      <c r="I48" s="36">
        <v>819.022410170645</v>
      </c>
      <c r="J48" s="36">
        <v>988.03782801968202</v>
      </c>
      <c r="K48" s="36">
        <v>1530.47935919308</v>
      </c>
      <c r="O48">
        <f>SUM(M14:M17)</f>
        <v>3000</v>
      </c>
      <c r="P48" t="s">
        <v>47</v>
      </c>
      <c r="Q48" s="3">
        <v>3000</v>
      </c>
      <c r="R48" s="3" t="s">
        <v>28</v>
      </c>
      <c r="T48">
        <f>SUM(P9:S9) - 240000*W9</f>
        <v>0</v>
      </c>
      <c r="U48" t="s">
        <v>44</v>
      </c>
      <c r="V48">
        <v>0</v>
      </c>
      <c r="W48" t="s">
        <v>55</v>
      </c>
    </row>
    <row r="49" spans="1:23" x14ac:dyDescent="0.2">
      <c r="A49" s="21" t="s">
        <v>54</v>
      </c>
      <c r="B49">
        <v>367.877874525594</v>
      </c>
      <c r="C49">
        <v>1216.4843822021501</v>
      </c>
      <c r="D49">
        <v>1098.9173202546001</v>
      </c>
      <c r="E49">
        <v>1120.4841202078801</v>
      </c>
      <c r="G49" s="21" t="s">
        <v>54</v>
      </c>
      <c r="H49" s="36">
        <v>367.877874525594</v>
      </c>
      <c r="I49" s="36">
        <v>1216.4843822021501</v>
      </c>
      <c r="J49" s="36">
        <v>1098.9173202546001</v>
      </c>
      <c r="K49" s="36">
        <v>1120.4841202078801</v>
      </c>
      <c r="O49">
        <f>SUM(N14:N17)</f>
        <v>16500</v>
      </c>
      <c r="P49" t="s">
        <v>47</v>
      </c>
      <c r="Q49" s="3">
        <v>16500</v>
      </c>
      <c r="R49" s="3" t="s">
        <v>29</v>
      </c>
      <c r="T49">
        <f>SUM(P10:S10) - 240000*W10</f>
        <v>-180000</v>
      </c>
      <c r="U49" t="s">
        <v>44</v>
      </c>
      <c r="V49">
        <v>0</v>
      </c>
      <c r="W49" t="s">
        <v>56</v>
      </c>
    </row>
    <row r="50" spans="1:23" x14ac:dyDescent="0.2">
      <c r="A50" s="21" t="s">
        <v>55</v>
      </c>
      <c r="B50">
        <v>1559.09817345998</v>
      </c>
      <c r="C50">
        <v>714.30198187844996</v>
      </c>
      <c r="D50">
        <v>1950.44679609537</v>
      </c>
      <c r="E50">
        <v>2855.2500719434802</v>
      </c>
      <c r="F50" s="3"/>
      <c r="G50" s="21" t="s">
        <v>55</v>
      </c>
      <c r="H50" s="36">
        <v>1559.09817345998</v>
      </c>
      <c r="I50" s="36">
        <v>714.30198187844996</v>
      </c>
      <c r="J50" s="36">
        <v>1950.44679609537</v>
      </c>
      <c r="K50" s="36">
        <v>2855.2500719434802</v>
      </c>
      <c r="L50" s="3"/>
      <c r="M50" s="3"/>
      <c r="O50">
        <f>SUM(O14:O17)</f>
        <v>6500</v>
      </c>
      <c r="P50" t="s">
        <v>47</v>
      </c>
      <c r="Q50" s="3">
        <v>6500</v>
      </c>
      <c r="R50" s="3" t="s">
        <v>30</v>
      </c>
      <c r="T50">
        <f>SUM(P11:S11) - 240000*W11</f>
        <v>-195000</v>
      </c>
      <c r="U50" t="s">
        <v>44</v>
      </c>
      <c r="V50">
        <v>0</v>
      </c>
      <c r="W50" t="s">
        <v>57</v>
      </c>
    </row>
    <row r="51" spans="1:23" x14ac:dyDescent="0.2">
      <c r="A51" s="21" t="s">
        <v>56</v>
      </c>
      <c r="B51">
        <v>1266.1262677673999</v>
      </c>
      <c r="C51">
        <v>1758.7329724953199</v>
      </c>
      <c r="D51">
        <v>367.81425173509098</v>
      </c>
      <c r="E51">
        <v>2462.37046531326</v>
      </c>
      <c r="F51" s="3"/>
      <c r="G51" s="21" t="s">
        <v>56</v>
      </c>
      <c r="H51" s="36">
        <v>1266.1262677673999</v>
      </c>
      <c r="I51" s="36">
        <v>1758.7329724953199</v>
      </c>
      <c r="J51" s="36">
        <v>367.81425173509098</v>
      </c>
      <c r="K51" s="36">
        <v>2462.37046531326</v>
      </c>
      <c r="L51" s="3"/>
      <c r="M51" s="3"/>
      <c r="O51">
        <f>SUM(P14:P17)</f>
        <v>500</v>
      </c>
      <c r="P51" t="s">
        <v>47</v>
      </c>
      <c r="Q51" s="3">
        <v>500</v>
      </c>
      <c r="R51" s="3" t="s">
        <v>31</v>
      </c>
    </row>
    <row r="52" spans="1:23" x14ac:dyDescent="0.2">
      <c r="A52" s="21" t="s">
        <v>57</v>
      </c>
      <c r="B52">
        <v>437.82381957224999</v>
      </c>
      <c r="C52">
        <v>1272.17724890417</v>
      </c>
      <c r="D52">
        <v>554.54740671752097</v>
      </c>
      <c r="E52">
        <v>1592.6403948331599</v>
      </c>
      <c r="F52" s="3"/>
      <c r="G52" s="21" t="s">
        <v>57</v>
      </c>
      <c r="H52" s="36">
        <v>437.82381957224999</v>
      </c>
      <c r="I52" s="36">
        <v>1272.17724890417</v>
      </c>
      <c r="J52" s="36">
        <v>554.54740671752097</v>
      </c>
      <c r="K52" s="36">
        <v>1592.6403948331599</v>
      </c>
      <c r="L52" s="3"/>
      <c r="M52" s="3"/>
      <c r="O52">
        <f>SUM(Q14:Q17)</f>
        <v>22000</v>
      </c>
      <c r="P52" t="s">
        <v>47</v>
      </c>
      <c r="Q52" s="3">
        <v>22000</v>
      </c>
      <c r="R52" s="3" t="s">
        <v>32</v>
      </c>
    </row>
    <row r="53" spans="1:23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O53">
        <f>SUM(R14:R17)</f>
        <v>13000</v>
      </c>
      <c r="P53" t="s">
        <v>47</v>
      </c>
      <c r="Q53" s="3">
        <v>13000</v>
      </c>
      <c r="R53" s="3" t="s">
        <v>33</v>
      </c>
    </row>
    <row r="54" spans="1:23" x14ac:dyDescent="0.2">
      <c r="B54" s="11" t="s">
        <v>25</v>
      </c>
      <c r="C54" s="11" t="s">
        <v>26</v>
      </c>
      <c r="D54" s="11" t="s">
        <v>27</v>
      </c>
      <c r="E54" s="11" t="s">
        <v>28</v>
      </c>
      <c r="F54" s="11" t="s">
        <v>29</v>
      </c>
      <c r="G54" s="11" t="s">
        <v>30</v>
      </c>
      <c r="H54" s="11" t="s">
        <v>31</v>
      </c>
      <c r="I54" s="11" t="s">
        <v>32</v>
      </c>
      <c r="J54" s="11" t="s">
        <v>33</v>
      </c>
      <c r="K54" s="11" t="s">
        <v>34</v>
      </c>
      <c r="L54" s="11" t="s">
        <v>35</v>
      </c>
      <c r="M54" s="11" t="s">
        <v>36</v>
      </c>
      <c r="O54">
        <f>SUM(S14:S17)</f>
        <v>1000</v>
      </c>
      <c r="P54" t="s">
        <v>47</v>
      </c>
      <c r="Q54" s="3">
        <v>1000</v>
      </c>
      <c r="R54" s="3" t="s">
        <v>34</v>
      </c>
    </row>
    <row r="55" spans="1:23" x14ac:dyDescent="0.2">
      <c r="A55" s="10" t="s">
        <v>19</v>
      </c>
      <c r="B55" s="3">
        <v>1280.7990199999999</v>
      </c>
      <c r="C55" s="3">
        <v>1831.83339</v>
      </c>
      <c r="D55" s="3">
        <v>1480.01845</v>
      </c>
      <c r="E55" s="3">
        <v>1291.8657499999999</v>
      </c>
      <c r="F55" s="3">
        <v>361.84678400000001</v>
      </c>
      <c r="G55" s="3">
        <v>1185.02241</v>
      </c>
      <c r="H55" s="3">
        <v>934.02313500000002</v>
      </c>
      <c r="I55" s="3">
        <v>557.31895899999995</v>
      </c>
      <c r="J55" s="3">
        <v>769.99873300000002</v>
      </c>
      <c r="K55" s="3">
        <v>2148.6587500000001</v>
      </c>
      <c r="L55" s="3">
        <v>2316.5231899999999</v>
      </c>
      <c r="M55" s="3">
        <v>1590.5757900000001</v>
      </c>
      <c r="O55">
        <f>SUM(T14:T17)</f>
        <v>44000</v>
      </c>
      <c r="P55" t="s">
        <v>47</v>
      </c>
      <c r="Q55" s="3">
        <v>44000</v>
      </c>
      <c r="R55" s="3" t="s">
        <v>35</v>
      </c>
    </row>
    <row r="56" spans="1:23" x14ac:dyDescent="0.2">
      <c r="A56" s="10" t="s">
        <v>20</v>
      </c>
      <c r="B56" s="3">
        <v>416.56545699999998</v>
      </c>
      <c r="C56" s="3">
        <v>2530.90245</v>
      </c>
      <c r="D56" s="3">
        <v>2141.5278499999999</v>
      </c>
      <c r="E56" s="3">
        <v>564.91897100000006</v>
      </c>
      <c r="F56" s="3">
        <v>675.90874699999995</v>
      </c>
      <c r="G56" s="3">
        <v>312.09291200000001</v>
      </c>
      <c r="H56" s="3">
        <v>172.38078300000001</v>
      </c>
      <c r="I56" s="3">
        <v>622.62840600000004</v>
      </c>
      <c r="J56" s="3">
        <v>1497.87247</v>
      </c>
      <c r="K56" s="3">
        <v>1388.1726100000001</v>
      </c>
      <c r="L56" s="3">
        <v>1586.1347900000001</v>
      </c>
      <c r="M56" s="3">
        <v>1984.94219</v>
      </c>
      <c r="O56">
        <f>SUM(U14:U17)</f>
        <v>500</v>
      </c>
      <c r="P56" t="s">
        <v>47</v>
      </c>
      <c r="Q56" s="3">
        <v>500</v>
      </c>
      <c r="R56" s="3" t="s">
        <v>36</v>
      </c>
    </row>
    <row r="57" spans="1:23" x14ac:dyDescent="0.2">
      <c r="A57" s="10" t="s">
        <v>21</v>
      </c>
      <c r="B57" s="3">
        <v>1980.3791900000001</v>
      </c>
      <c r="C57" s="3">
        <v>2361.1644700000002</v>
      </c>
      <c r="D57" s="3">
        <v>2103.7152599999999</v>
      </c>
      <c r="E57" s="3">
        <v>2081.5314899999998</v>
      </c>
      <c r="F57" s="3">
        <v>1273.04423</v>
      </c>
      <c r="G57" s="3">
        <v>1702.8825099999999</v>
      </c>
      <c r="H57" s="3">
        <v>1665.1453899999999</v>
      </c>
      <c r="I57" s="3">
        <v>943.28114500000004</v>
      </c>
      <c r="J57" s="3">
        <v>222.38847799999999</v>
      </c>
      <c r="K57" s="3">
        <v>2940.4324900000001</v>
      </c>
      <c r="L57" s="3">
        <v>3129.52936</v>
      </c>
      <c r="M57" s="3">
        <v>713.93908599999997</v>
      </c>
    </row>
    <row r="58" spans="1:23" x14ac:dyDescent="0.2">
      <c r="A58" s="10" t="s">
        <v>22</v>
      </c>
      <c r="B58" s="3">
        <v>2319.27882</v>
      </c>
      <c r="C58" s="3">
        <v>392.73576100000002</v>
      </c>
      <c r="D58" s="3">
        <v>9.1108617400000007</v>
      </c>
      <c r="E58" s="3">
        <v>2163.5780500000001</v>
      </c>
      <c r="F58" s="3">
        <v>1496.75197</v>
      </c>
      <c r="G58" s="3">
        <v>2453.0090399999999</v>
      </c>
      <c r="H58" s="3">
        <v>2049.0579200000002</v>
      </c>
      <c r="I58" s="3">
        <v>2023.5485900000001</v>
      </c>
      <c r="J58" s="3">
        <v>1874.7082700000001</v>
      </c>
      <c r="K58" s="3">
        <v>2775.6073999999999</v>
      </c>
      <c r="L58" s="3">
        <v>2849.5451200000002</v>
      </c>
      <c r="M58" s="3">
        <v>2806.9366500000001</v>
      </c>
      <c r="O58" s="1" t="s">
        <v>48</v>
      </c>
    </row>
    <row r="59" spans="1:23" x14ac:dyDescent="0.2">
      <c r="O59">
        <f>SUM(J5:J6)</f>
        <v>1000</v>
      </c>
      <c r="P59" t="s">
        <v>47</v>
      </c>
      <c r="Q59">
        <f>SUM(J9:M9)</f>
        <v>1000</v>
      </c>
      <c r="R59" s="3" t="s">
        <v>8</v>
      </c>
    </row>
    <row r="60" spans="1:23" x14ac:dyDescent="0.2">
      <c r="I60" s="1"/>
      <c r="O60">
        <f>SUM(K5:K6)</f>
        <v>78500</v>
      </c>
      <c r="P60" t="s">
        <v>47</v>
      </c>
      <c r="Q60">
        <f>SUM(J10:M10)</f>
        <v>78500</v>
      </c>
      <c r="R60" s="3" t="s">
        <v>9</v>
      </c>
    </row>
    <row r="61" spans="1:23" x14ac:dyDescent="0.2">
      <c r="L61" s="3"/>
      <c r="O61">
        <f>SUM(L5:L6)</f>
        <v>0</v>
      </c>
      <c r="P61" t="s">
        <v>47</v>
      </c>
      <c r="Q61">
        <f>SUM(J11:M11)</f>
        <v>0</v>
      </c>
      <c r="R61" s="3" t="s">
        <v>10</v>
      </c>
    </row>
    <row r="62" spans="1:23" x14ac:dyDescent="0.2">
      <c r="O62">
        <f>SUM(J9:J11,P7:P11)</f>
        <v>16500</v>
      </c>
      <c r="P62" t="s">
        <v>47</v>
      </c>
      <c r="Q62">
        <f>SUM(J14:U14)</f>
        <v>16500</v>
      </c>
      <c r="R62" t="s">
        <v>19</v>
      </c>
    </row>
    <row r="63" spans="1:23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>
        <f>SUM(K9:K11,Q7:Q11)</f>
        <v>62000</v>
      </c>
      <c r="P63" t="s">
        <v>47</v>
      </c>
      <c r="Q63">
        <f>SUM(J15:U15)</f>
        <v>62000</v>
      </c>
      <c r="R63" t="s">
        <v>20</v>
      </c>
    </row>
    <row r="64" spans="1:23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O64">
        <f>SUM(L9:L11,R7:R11)</f>
        <v>60000</v>
      </c>
      <c r="P64" t="s">
        <v>47</v>
      </c>
      <c r="Q64">
        <f>SUM(J16:U16)</f>
        <v>60000</v>
      </c>
      <c r="R64" t="s">
        <v>21</v>
      </c>
    </row>
    <row r="65" spans="2:18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O65">
        <f>SUM(M9:M11,S7:S11)</f>
        <v>96000</v>
      </c>
      <c r="P65" t="s">
        <v>47</v>
      </c>
      <c r="Q65">
        <f>SUM(J17:U17)</f>
        <v>96000</v>
      </c>
      <c r="R65" t="s">
        <v>22</v>
      </c>
    </row>
    <row r="66" spans="2:18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R66" s="3"/>
    </row>
    <row r="72" spans="2:18" x14ac:dyDescent="0.2">
      <c r="O72" s="1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D46E-1670-1440-B084-C700B7B48022}">
  <dimension ref="A1:BN86"/>
  <sheetViews>
    <sheetView topLeftCell="AR42" zoomScale="108" zoomScaleNormal="134" workbookViewId="0">
      <selection activeCell="BB66" sqref="BB66"/>
    </sheetView>
  </sheetViews>
  <sheetFormatPr baseColWidth="10" defaultColWidth="11" defaultRowHeight="16" x14ac:dyDescent="0.2"/>
  <cols>
    <col min="1" max="1" width="20.83203125" customWidth="1"/>
    <col min="2" max="5" width="11.1640625" bestFit="1" customWidth="1"/>
    <col min="8" max="19" width="11.33203125" bestFit="1" customWidth="1"/>
    <col min="22" max="23" width="15" bestFit="1" customWidth="1"/>
    <col min="24" max="24" width="13.33203125" bestFit="1" customWidth="1"/>
    <col min="25" max="25" width="14.5" bestFit="1" customWidth="1"/>
    <col min="26" max="33" width="11.5" bestFit="1" customWidth="1"/>
    <col min="36" max="47" width="11.1640625" bestFit="1" customWidth="1"/>
    <col min="49" max="49" width="10.6640625" customWidth="1"/>
    <col min="50" max="50" width="12.6640625" bestFit="1" customWidth="1"/>
    <col min="51" max="51" width="11.1640625" bestFit="1" customWidth="1"/>
    <col min="54" max="54" width="11.1640625" bestFit="1" customWidth="1"/>
    <col min="55" max="55" width="11.6640625" bestFit="1" customWidth="1"/>
    <col min="56" max="56" width="13.6640625" bestFit="1" customWidth="1"/>
    <col min="57" max="63" width="11.1640625" bestFit="1" customWidth="1"/>
  </cols>
  <sheetData>
    <row r="1" spans="1:58" x14ac:dyDescent="0.2">
      <c r="A1" s="4"/>
      <c r="B1" s="4" t="s">
        <v>0</v>
      </c>
      <c r="C1" s="4" t="s">
        <v>1</v>
      </c>
      <c r="D1" s="4" t="s">
        <v>63</v>
      </c>
      <c r="E1" s="3"/>
      <c r="F1" s="3"/>
      <c r="G1" s="3"/>
    </row>
    <row r="2" spans="1:58" x14ac:dyDescent="0.2">
      <c r="A2" s="3" t="s">
        <v>4</v>
      </c>
      <c r="B2" s="3">
        <v>952</v>
      </c>
      <c r="C2" s="3">
        <v>24</v>
      </c>
      <c r="D2" s="3">
        <v>73</v>
      </c>
      <c r="E2" s="3"/>
      <c r="F2" s="3"/>
      <c r="G2" s="1" t="s">
        <v>45</v>
      </c>
      <c r="U2" s="1" t="s">
        <v>7</v>
      </c>
      <c r="AB2" s="1"/>
      <c r="AI2" s="1" t="s">
        <v>39</v>
      </c>
      <c r="AW2" s="1" t="s">
        <v>42</v>
      </c>
      <c r="BA2" s="3"/>
      <c r="BB2" s="1" t="s">
        <v>64</v>
      </c>
    </row>
    <row r="3" spans="1:58" x14ac:dyDescent="0.2">
      <c r="A3" s="3" t="s">
        <v>65</v>
      </c>
      <c r="B3" s="3">
        <v>1.14E-2</v>
      </c>
      <c r="C3" s="3">
        <v>1.6999999999999999E-3</v>
      </c>
      <c r="D3">
        <v>6.4999999999999997E-3</v>
      </c>
      <c r="E3" s="3"/>
      <c r="F3" s="3"/>
      <c r="G3" s="4" t="s">
        <v>0</v>
      </c>
      <c r="H3" s="9" t="s">
        <v>8</v>
      </c>
      <c r="I3" s="9" t="s">
        <v>9</v>
      </c>
      <c r="J3" s="9" t="s">
        <v>10</v>
      </c>
      <c r="U3" s="4" t="s">
        <v>0</v>
      </c>
      <c r="V3" s="9" t="s">
        <v>8</v>
      </c>
      <c r="W3" s="9" t="s">
        <v>9</v>
      </c>
      <c r="X3" s="9" t="s">
        <v>10</v>
      </c>
      <c r="AB3" s="1"/>
      <c r="AI3" s="4" t="s">
        <v>0</v>
      </c>
      <c r="AJ3" s="9" t="s">
        <v>8</v>
      </c>
      <c r="AK3" s="9" t="s">
        <v>9</v>
      </c>
      <c r="AL3" s="9" t="s">
        <v>10</v>
      </c>
      <c r="AW3" s="1" t="s">
        <v>43</v>
      </c>
      <c r="BA3" s="3"/>
      <c r="BB3" s="4" t="s">
        <v>0</v>
      </c>
      <c r="BC3" s="9" t="s">
        <v>8</v>
      </c>
      <c r="BD3" s="9" t="s">
        <v>9</v>
      </c>
      <c r="BE3" s="9" t="s">
        <v>10</v>
      </c>
    </row>
    <row r="4" spans="1:58" x14ac:dyDescent="0.2">
      <c r="A4" s="3" t="s">
        <v>66</v>
      </c>
      <c r="B4" s="3">
        <v>6.3000000000000003E-4</v>
      </c>
      <c r="C4" s="3">
        <v>5.21E-2</v>
      </c>
      <c r="D4" s="3">
        <v>2.3999999999999998E-3</v>
      </c>
      <c r="E4" s="3"/>
      <c r="F4" s="3"/>
      <c r="G4" s="8" t="s">
        <v>12</v>
      </c>
      <c r="H4" s="3">
        <v>9000.7708299999995</v>
      </c>
      <c r="I4" s="3">
        <v>8561.6520600000003</v>
      </c>
      <c r="J4" s="3">
        <v>9815.4661699999997</v>
      </c>
      <c r="U4" s="8" t="s">
        <v>12</v>
      </c>
      <c r="V4" s="15">
        <v>0</v>
      </c>
      <c r="W4" s="15">
        <v>0</v>
      </c>
      <c r="X4" s="15">
        <v>0</v>
      </c>
      <c r="AG4" s="3"/>
      <c r="AH4" s="3"/>
      <c r="AI4" s="8" t="s">
        <v>12</v>
      </c>
      <c r="AJ4" cm="1">
        <f t="array" ref="AJ4:AL5">(B5*H4:J5+B10:B11)*V4:X5</f>
        <v>0</v>
      </c>
      <c r="AK4">
        <v>0</v>
      </c>
      <c r="AL4">
        <v>0</v>
      </c>
      <c r="AW4">
        <f xml:space="preserve"> SUM(V8:V10,V29:V31,V50:V52)</f>
        <v>45000</v>
      </c>
      <c r="AX4" t="s">
        <v>44</v>
      </c>
      <c r="AY4" s="3">
        <v>45000</v>
      </c>
      <c r="AZ4" s="3" t="s">
        <v>19</v>
      </c>
      <c r="BA4" s="3"/>
      <c r="BB4" s="8" t="s">
        <v>12</v>
      </c>
      <c r="BC4" cm="1">
        <f t="array" ref="BC4:BE5">H4:J5*(V4:X5/B7)*952</f>
        <v>0</v>
      </c>
      <c r="BD4">
        <v>0</v>
      </c>
      <c r="BE4">
        <v>0</v>
      </c>
    </row>
    <row r="5" spans="1:58" x14ac:dyDescent="0.2">
      <c r="A5" s="4" t="s">
        <v>67</v>
      </c>
      <c r="B5" s="3">
        <f>B3*B6+B4</f>
        <v>3.0611999999999997E-2</v>
      </c>
      <c r="C5" s="3">
        <f>C3*B6+C4</f>
        <v>5.6570999999999996E-2</v>
      </c>
      <c r="D5" s="3">
        <f>B6*D3+D4</f>
        <v>1.9494999999999998E-2</v>
      </c>
      <c r="E5" s="3"/>
      <c r="F5" s="3"/>
      <c r="G5" s="8" t="s">
        <v>14</v>
      </c>
      <c r="H5" s="3">
        <v>8471.3719099999998</v>
      </c>
      <c r="I5" s="3">
        <v>7996.1371200000003</v>
      </c>
      <c r="J5" s="3">
        <v>9243.1630600000008</v>
      </c>
      <c r="U5" s="8" t="s">
        <v>14</v>
      </c>
      <c r="V5" s="15">
        <v>0</v>
      </c>
      <c r="W5" s="15">
        <v>234500</v>
      </c>
      <c r="X5" s="15">
        <v>0</v>
      </c>
      <c r="AC5" s="3"/>
      <c r="AD5" s="3"/>
      <c r="AE5" s="3"/>
      <c r="AF5" s="3"/>
      <c r="AG5" s="3"/>
      <c r="AI5" s="8" t="s">
        <v>14</v>
      </c>
      <c r="AJ5">
        <v>0</v>
      </c>
      <c r="AK5">
        <v>58203165.955229677</v>
      </c>
      <c r="AL5">
        <v>0</v>
      </c>
      <c r="AW5">
        <f>SUM(W8:W10,W29:W31,W50:W52)</f>
        <v>62000</v>
      </c>
      <c r="AX5" t="s">
        <v>44</v>
      </c>
      <c r="AY5" s="3">
        <v>150000</v>
      </c>
      <c r="AZ5" s="3" t="s">
        <v>20</v>
      </c>
      <c r="BB5" s="8" t="s">
        <v>14</v>
      </c>
      <c r="BC5">
        <v>0</v>
      </c>
      <c r="BD5">
        <v>4694785740.6214457</v>
      </c>
      <c r="BE5">
        <v>0</v>
      </c>
    </row>
    <row r="6" spans="1:58" x14ac:dyDescent="0.2">
      <c r="A6" s="3" t="s">
        <v>11</v>
      </c>
      <c r="B6" s="3">
        <v>2.63</v>
      </c>
      <c r="C6" s="3"/>
      <c r="D6" s="3"/>
      <c r="E6" s="3"/>
      <c r="F6" s="3"/>
      <c r="U6" s="2"/>
      <c r="V6" s="2"/>
      <c r="W6" s="2"/>
      <c r="X6" s="2"/>
      <c r="Y6" s="2"/>
      <c r="Z6" s="2"/>
      <c r="AC6" s="2"/>
      <c r="AD6" s="2"/>
      <c r="AE6" s="2"/>
      <c r="AF6" s="2"/>
      <c r="AG6" s="2"/>
      <c r="AH6" s="2"/>
      <c r="AI6" s="2"/>
      <c r="AV6" s="2"/>
      <c r="AW6">
        <f>SUM(X8:X10,X29:X31,X50:X52)</f>
        <v>27500</v>
      </c>
      <c r="AX6" t="s">
        <v>44</v>
      </c>
      <c r="AY6" s="3">
        <v>75000</v>
      </c>
      <c r="AZ6" s="3" t="s">
        <v>21</v>
      </c>
      <c r="BB6" s="2"/>
    </row>
    <row r="7" spans="1:58" x14ac:dyDescent="0.2">
      <c r="A7" s="3" t="s">
        <v>179</v>
      </c>
      <c r="B7" s="3">
        <f>1000/B6</f>
        <v>380.22813688212932</v>
      </c>
      <c r="C7" s="3"/>
      <c r="D7" s="3"/>
      <c r="E7" s="3"/>
      <c r="F7" s="3"/>
      <c r="G7" s="1" t="s">
        <v>0</v>
      </c>
      <c r="H7" s="10" t="s">
        <v>19</v>
      </c>
      <c r="I7" s="10" t="s">
        <v>20</v>
      </c>
      <c r="J7" s="10" t="s">
        <v>21</v>
      </c>
      <c r="K7" s="10" t="s">
        <v>22</v>
      </c>
      <c r="U7" s="1" t="s">
        <v>0</v>
      </c>
      <c r="V7" s="10" t="s">
        <v>19</v>
      </c>
      <c r="W7" s="10" t="s">
        <v>20</v>
      </c>
      <c r="X7" s="10" t="s">
        <v>21</v>
      </c>
      <c r="Y7" s="10" t="s">
        <v>22</v>
      </c>
      <c r="AD7" s="2"/>
      <c r="AE7" s="2"/>
      <c r="AF7" s="2"/>
      <c r="AG7" s="2"/>
      <c r="AI7" s="1" t="s">
        <v>0</v>
      </c>
      <c r="AJ7" s="10" t="s">
        <v>19</v>
      </c>
      <c r="AK7" s="10" t="s">
        <v>20</v>
      </c>
      <c r="AL7" s="10" t="s">
        <v>21</v>
      </c>
      <c r="AM7" s="10" t="s">
        <v>22</v>
      </c>
      <c r="AW7">
        <f>SUM(Y8:Y10,Y29:Y31,Y50:Y52)</f>
        <v>100000</v>
      </c>
      <c r="AX7" t="s">
        <v>44</v>
      </c>
      <c r="AY7" s="3">
        <v>100000</v>
      </c>
      <c r="AZ7" s="3" t="s">
        <v>22</v>
      </c>
      <c r="BB7" s="1" t="s">
        <v>0</v>
      </c>
      <c r="BC7" s="10" t="s">
        <v>19</v>
      </c>
      <c r="BD7" s="10" t="s">
        <v>20</v>
      </c>
      <c r="BE7" s="10" t="s">
        <v>21</v>
      </c>
      <c r="BF7" s="10" t="s">
        <v>22</v>
      </c>
    </row>
    <row r="8" spans="1:58" x14ac:dyDescent="0.2">
      <c r="A8" s="5" t="s">
        <v>13</v>
      </c>
      <c r="B8" s="3"/>
      <c r="C8" s="3"/>
      <c r="E8" s="3"/>
      <c r="F8" s="3"/>
      <c r="G8" s="9" t="s">
        <v>8</v>
      </c>
      <c r="H8" s="3">
        <v>220.49319199999999</v>
      </c>
      <c r="I8" s="3">
        <v>1019.75143</v>
      </c>
      <c r="J8" s="3">
        <v>1099.06143</v>
      </c>
      <c r="K8" s="3">
        <v>1263.02225</v>
      </c>
      <c r="U8" s="9" t="s">
        <v>8</v>
      </c>
      <c r="V8" s="15">
        <v>0</v>
      </c>
      <c r="W8" s="15">
        <v>0</v>
      </c>
      <c r="X8" s="15">
        <v>0</v>
      </c>
      <c r="Y8" s="15">
        <v>0</v>
      </c>
      <c r="AI8" s="9" t="s">
        <v>8</v>
      </c>
      <c r="AJ8" cm="1">
        <f t="array" ref="AJ8:AM10">(B5*H8:K10+B15:B17)*V8:Y10</f>
        <v>0</v>
      </c>
      <c r="AK8">
        <v>0</v>
      </c>
      <c r="AL8">
        <v>0</v>
      </c>
      <c r="AM8">
        <v>0</v>
      </c>
      <c r="BB8" s="9" t="s">
        <v>8</v>
      </c>
      <c r="BC8" cm="1">
        <f t="array" ref="BC8:BF15">H8:K15*(V8:Y15/B7)*952</f>
        <v>0</v>
      </c>
      <c r="BD8">
        <v>0</v>
      </c>
      <c r="BE8">
        <v>0</v>
      </c>
      <c r="BF8">
        <v>0</v>
      </c>
    </row>
    <row r="9" spans="1:58" x14ac:dyDescent="0.2">
      <c r="A9" s="6" t="s">
        <v>15</v>
      </c>
      <c r="B9" s="6" t="s">
        <v>16</v>
      </c>
      <c r="C9" s="6" t="s">
        <v>17</v>
      </c>
      <c r="D9" s="3" t="s">
        <v>18</v>
      </c>
      <c r="E9" s="3"/>
      <c r="F9" s="6"/>
      <c r="G9" s="9" t="s">
        <v>9</v>
      </c>
      <c r="H9" s="3">
        <v>519.32400700000005</v>
      </c>
      <c r="I9" s="3">
        <v>1155.2343100000001</v>
      </c>
      <c r="J9" s="3">
        <v>440.47644400000001</v>
      </c>
      <c r="K9" s="3">
        <v>1856.5320200000001</v>
      </c>
      <c r="U9" s="9" t="s">
        <v>9</v>
      </c>
      <c r="V9" s="15">
        <v>0</v>
      </c>
      <c r="W9" s="15">
        <v>0</v>
      </c>
      <c r="X9" s="15">
        <v>0</v>
      </c>
      <c r="Y9" s="15">
        <v>0</v>
      </c>
      <c r="AI9" s="9" t="s">
        <v>9</v>
      </c>
      <c r="AJ9">
        <v>0</v>
      </c>
      <c r="AK9">
        <v>0</v>
      </c>
      <c r="AL9">
        <v>0</v>
      </c>
      <c r="AM9">
        <v>0</v>
      </c>
      <c r="AW9" s="1" t="s">
        <v>46</v>
      </c>
      <c r="BB9" s="9" t="s">
        <v>9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s="3" t="s">
        <v>12</v>
      </c>
      <c r="B10" s="3">
        <v>3.3436923099999998</v>
      </c>
      <c r="C10" s="3">
        <v>25.072134299999998</v>
      </c>
      <c r="D10" s="3">
        <v>121.679919</v>
      </c>
      <c r="E10" s="3"/>
      <c r="F10" s="3"/>
      <c r="G10" s="9" t="s">
        <v>10</v>
      </c>
      <c r="H10" s="3">
        <v>962.97049100000004</v>
      </c>
      <c r="I10" s="3">
        <v>149.866636</v>
      </c>
      <c r="J10" s="3">
        <v>1675.98143</v>
      </c>
      <c r="K10" s="3">
        <v>2091.80017</v>
      </c>
      <c r="U10" s="9" t="s">
        <v>10</v>
      </c>
      <c r="V10" s="15">
        <v>0</v>
      </c>
      <c r="W10" s="15">
        <v>0</v>
      </c>
      <c r="X10" s="15">
        <v>0</v>
      </c>
      <c r="Y10" s="15">
        <v>0</v>
      </c>
      <c r="AC10" s="2"/>
      <c r="AD10" s="2"/>
      <c r="AE10" s="2"/>
      <c r="AF10" s="2"/>
      <c r="AI10" s="9" t="s">
        <v>10</v>
      </c>
      <c r="AJ10">
        <v>0</v>
      </c>
      <c r="AK10">
        <v>0</v>
      </c>
      <c r="AL10">
        <v>0</v>
      </c>
      <c r="AM10">
        <v>0</v>
      </c>
      <c r="AW10">
        <f>SUM(V18:V21,V39:V42,V60:V63)</f>
        <v>7000</v>
      </c>
      <c r="AX10" t="s">
        <v>47</v>
      </c>
      <c r="AY10" s="3">
        <v>7000</v>
      </c>
      <c r="AZ10" s="3" t="s">
        <v>25</v>
      </c>
      <c r="BB10" s="9" t="s">
        <v>10</v>
      </c>
      <c r="BC10">
        <v>0</v>
      </c>
      <c r="BD10">
        <v>0</v>
      </c>
      <c r="BE10">
        <v>0</v>
      </c>
      <c r="BF10">
        <v>0</v>
      </c>
    </row>
    <row r="11" spans="1:58" x14ac:dyDescent="0.2">
      <c r="A11" s="3" t="s">
        <v>14</v>
      </c>
      <c r="B11" s="3">
        <v>3.4233846200000002</v>
      </c>
      <c r="C11" s="3">
        <v>31.232343700000001</v>
      </c>
      <c r="D11" s="3">
        <v>121.46910200000001</v>
      </c>
      <c r="E11" s="3"/>
      <c r="F11" s="3"/>
      <c r="M11" s="3"/>
      <c r="N11" s="3"/>
      <c r="O11" s="3"/>
      <c r="P11" s="3"/>
      <c r="Q11" s="3"/>
      <c r="R11" s="3"/>
      <c r="S11" s="3"/>
      <c r="T11" s="3"/>
      <c r="AW11">
        <f>SUM(W18:W21,W39:W42,W60:W63)</f>
        <v>6000</v>
      </c>
      <c r="AX11" t="s">
        <v>47</v>
      </c>
      <c r="AY11" s="3">
        <v>6000</v>
      </c>
      <c r="AZ11" s="3" t="s">
        <v>26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 s="3"/>
      <c r="B12" s="3"/>
      <c r="C12" s="3"/>
      <c r="D12" s="3"/>
      <c r="E12" s="3"/>
      <c r="F12" s="3"/>
      <c r="M12" s="3"/>
      <c r="N12" s="3"/>
      <c r="O12" s="3"/>
      <c r="P12" s="3"/>
      <c r="Q12" s="3"/>
      <c r="R12" s="3"/>
      <c r="S12" s="3"/>
      <c r="T12" s="3"/>
      <c r="AH12" s="3"/>
      <c r="AW12">
        <f>SUM(X18:X21,X39:X42,X60:X63)</f>
        <v>114500</v>
      </c>
      <c r="AX12" t="s">
        <v>47</v>
      </c>
      <c r="AY12" s="3">
        <v>114500</v>
      </c>
      <c r="AZ12" s="3" t="s">
        <v>27</v>
      </c>
      <c r="BC12">
        <v>0</v>
      </c>
      <c r="BD12">
        <v>0</v>
      </c>
      <c r="BE12">
        <v>0</v>
      </c>
      <c r="BF12">
        <v>0</v>
      </c>
    </row>
    <row r="13" spans="1:58" x14ac:dyDescent="0.2">
      <c r="A13" s="7" t="s">
        <v>23</v>
      </c>
      <c r="B13" s="3"/>
      <c r="C13" s="3"/>
      <c r="D13" s="3"/>
      <c r="E13" s="3"/>
      <c r="F13" s="3"/>
      <c r="L13" s="3"/>
      <c r="M13" s="3"/>
      <c r="N13" s="3"/>
      <c r="O13" s="3"/>
      <c r="P13" s="3"/>
      <c r="Q13" s="3"/>
      <c r="R13" s="3"/>
      <c r="S13" s="3"/>
      <c r="T13" s="3"/>
      <c r="AG13" s="3"/>
      <c r="AH13" s="3"/>
      <c r="AW13">
        <f>SUM(Y18:Y21,Y39:Y42,Y60:Y63)</f>
        <v>3000</v>
      </c>
      <c r="AX13" t="s">
        <v>47</v>
      </c>
      <c r="AY13" s="3">
        <v>3000</v>
      </c>
      <c r="AZ13" s="3" t="s">
        <v>28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 s="3" t="s">
        <v>15</v>
      </c>
      <c r="B14" s="3" t="s">
        <v>24</v>
      </c>
      <c r="C14" s="3" t="s">
        <v>17</v>
      </c>
      <c r="D14" s="3" t="s">
        <v>18</v>
      </c>
      <c r="E14" s="3"/>
      <c r="F14" s="3"/>
      <c r="L14" s="3"/>
      <c r="M14" s="3"/>
      <c r="N14" s="3"/>
      <c r="O14" s="3"/>
      <c r="P14" s="3"/>
      <c r="Q14" s="3"/>
      <c r="R14" s="3"/>
      <c r="S14" s="3"/>
      <c r="T14" s="3"/>
      <c r="AW14">
        <f>SUM(Z18:Z21,Z39:Z42,Z60:Z63)</f>
        <v>16500</v>
      </c>
      <c r="AX14" t="s">
        <v>47</v>
      </c>
      <c r="AY14" s="3">
        <v>16500</v>
      </c>
      <c r="AZ14" s="3" t="s">
        <v>29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 s="3" t="s">
        <v>8</v>
      </c>
      <c r="B15" s="3">
        <v>6.5338846200000003</v>
      </c>
      <c r="C15" s="3">
        <v>48.110300000000002</v>
      </c>
      <c r="D15" s="3">
        <v>16.569600000000001</v>
      </c>
      <c r="E15" s="3"/>
      <c r="F15" s="3"/>
      <c r="L15" s="3"/>
      <c r="M15" s="3"/>
      <c r="N15" s="3"/>
      <c r="O15" s="3"/>
      <c r="P15" s="3"/>
      <c r="Q15" s="3"/>
      <c r="R15" s="3"/>
      <c r="S15" s="3"/>
      <c r="T15" s="3"/>
      <c r="AW15">
        <f>SUM(AA18:AA21,AA39:AA42,AA60:AA63)</f>
        <v>6500</v>
      </c>
      <c r="AX15" t="s">
        <v>47</v>
      </c>
      <c r="AY15" s="3">
        <v>6500</v>
      </c>
      <c r="AZ15" s="3" t="s">
        <v>30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 s="3" t="s">
        <v>9</v>
      </c>
      <c r="B16" s="3">
        <v>4.3022692300000003</v>
      </c>
      <c r="C16" s="3">
        <v>54.361699999999999</v>
      </c>
      <c r="D16" s="3">
        <v>18.651399999999999</v>
      </c>
      <c r="E16" s="3"/>
      <c r="F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AW16">
        <f>SUM(AB18:AB21,AB39:AB42,AB60:AB63)</f>
        <v>500</v>
      </c>
      <c r="AX16" t="s">
        <v>47</v>
      </c>
      <c r="AY16" s="3">
        <v>500</v>
      </c>
      <c r="AZ16" s="3" t="s">
        <v>31</v>
      </c>
    </row>
    <row r="17" spans="1:66" x14ac:dyDescent="0.2">
      <c r="A17" s="3" t="s">
        <v>10</v>
      </c>
      <c r="B17" s="3">
        <v>5.6759230799999996</v>
      </c>
      <c r="C17" s="3">
        <v>49.009700000000002</v>
      </c>
      <c r="D17" s="3">
        <v>2.5478999999999998</v>
      </c>
      <c r="E17" s="3"/>
      <c r="F17" s="4"/>
      <c r="G17" s="1" t="s">
        <v>0</v>
      </c>
      <c r="H17" s="11" t="s">
        <v>25</v>
      </c>
      <c r="I17" s="11" t="s">
        <v>26</v>
      </c>
      <c r="J17" s="11" t="s">
        <v>27</v>
      </c>
      <c r="K17" s="11" t="s">
        <v>28</v>
      </c>
      <c r="L17" s="11" t="s">
        <v>29</v>
      </c>
      <c r="M17" s="11" t="s">
        <v>30</v>
      </c>
      <c r="N17" s="11" t="s">
        <v>31</v>
      </c>
      <c r="O17" s="11" t="s">
        <v>32</v>
      </c>
      <c r="P17" s="11" t="s">
        <v>33</v>
      </c>
      <c r="Q17" s="11" t="s">
        <v>34</v>
      </c>
      <c r="R17" s="11" t="s">
        <v>35</v>
      </c>
      <c r="S17" s="11" t="s">
        <v>36</v>
      </c>
      <c r="U17" s="1" t="s">
        <v>0</v>
      </c>
      <c r="V17" s="11" t="s">
        <v>25</v>
      </c>
      <c r="W17" s="11" t="s">
        <v>26</v>
      </c>
      <c r="X17" s="11" t="s">
        <v>27</v>
      </c>
      <c r="Y17" s="11" t="s">
        <v>28</v>
      </c>
      <c r="Z17" s="11" t="s">
        <v>29</v>
      </c>
      <c r="AA17" s="11" t="s">
        <v>30</v>
      </c>
      <c r="AB17" s="11" t="s">
        <v>31</v>
      </c>
      <c r="AC17" s="11" t="s">
        <v>32</v>
      </c>
      <c r="AD17" s="11" t="s">
        <v>33</v>
      </c>
      <c r="AE17" s="11" t="s">
        <v>34</v>
      </c>
      <c r="AF17" s="11" t="s">
        <v>35</v>
      </c>
      <c r="AG17" s="11" t="s">
        <v>36</v>
      </c>
      <c r="AI17" s="1" t="s">
        <v>0</v>
      </c>
      <c r="AJ17" s="11" t="s">
        <v>25</v>
      </c>
      <c r="AK17" s="11" t="s">
        <v>26</v>
      </c>
      <c r="AL17" s="11" t="s">
        <v>27</v>
      </c>
      <c r="AM17" s="11" t="s">
        <v>28</v>
      </c>
      <c r="AN17" s="11" t="s">
        <v>29</v>
      </c>
      <c r="AO17" s="11" t="s">
        <v>30</v>
      </c>
      <c r="AP17" s="11" t="s">
        <v>31</v>
      </c>
      <c r="AQ17" s="11" t="s">
        <v>32</v>
      </c>
      <c r="AR17" s="11" t="s">
        <v>33</v>
      </c>
      <c r="AS17" s="11" t="s">
        <v>34</v>
      </c>
      <c r="AT17" s="11" t="s">
        <v>35</v>
      </c>
      <c r="AU17" s="11" t="s">
        <v>36</v>
      </c>
      <c r="AW17">
        <f>SUM(AC18:AC21,AC39:AC42,AC60:AC63)</f>
        <v>22000</v>
      </c>
      <c r="AX17" t="s">
        <v>47</v>
      </c>
      <c r="AY17" s="3">
        <v>22000</v>
      </c>
      <c r="AZ17" s="3" t="s">
        <v>32</v>
      </c>
      <c r="BB17" s="1" t="s">
        <v>0</v>
      </c>
      <c r="BC17" s="11" t="s">
        <v>25</v>
      </c>
      <c r="BD17" s="11" t="s">
        <v>26</v>
      </c>
      <c r="BE17" s="11" t="s">
        <v>27</v>
      </c>
      <c r="BF17" s="11" t="s">
        <v>28</v>
      </c>
      <c r="BG17" s="11" t="s">
        <v>29</v>
      </c>
      <c r="BH17" s="11" t="s">
        <v>30</v>
      </c>
      <c r="BI17" s="11" t="s">
        <v>31</v>
      </c>
      <c r="BJ17" s="11" t="s">
        <v>32</v>
      </c>
      <c r="BK17" s="11" t="s">
        <v>33</v>
      </c>
      <c r="BL17" s="11" t="s">
        <v>34</v>
      </c>
      <c r="BM17" s="11" t="s">
        <v>35</v>
      </c>
      <c r="BN17" s="11" t="s">
        <v>36</v>
      </c>
    </row>
    <row r="18" spans="1:66" x14ac:dyDescent="0.2">
      <c r="A18" s="4"/>
      <c r="B18" s="3"/>
      <c r="C18" s="3"/>
      <c r="D18" s="3"/>
      <c r="E18" s="3"/>
      <c r="F18" s="3"/>
      <c r="G18" s="10" t="s">
        <v>19</v>
      </c>
      <c r="H18" s="3">
        <v>1280.7990199999999</v>
      </c>
      <c r="I18" s="3">
        <v>1831.83339</v>
      </c>
      <c r="J18" s="3">
        <v>1480.01845</v>
      </c>
      <c r="K18" s="3">
        <v>1291.8657499999999</v>
      </c>
      <c r="L18" s="3">
        <v>361.84678400000001</v>
      </c>
      <c r="M18" s="3">
        <v>1185.02241</v>
      </c>
      <c r="N18" s="3">
        <v>934.02313500000002</v>
      </c>
      <c r="O18" s="3">
        <v>557.31895899999995</v>
      </c>
      <c r="P18" s="3">
        <v>769.99873300000002</v>
      </c>
      <c r="Q18" s="3">
        <v>2148.6587500000001</v>
      </c>
      <c r="R18" s="3">
        <v>2316.5231899999999</v>
      </c>
      <c r="S18" s="3">
        <v>1590.5757900000001</v>
      </c>
      <c r="T18" s="3"/>
      <c r="U18" s="10" t="s">
        <v>19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I18" s="10" t="s">
        <v>19</v>
      </c>
      <c r="AJ18" cm="1">
        <f t="array" ref="AJ18:AU21">(B5*H18:S21+B21:B24)*V18:AG21</f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f>SUM(AD18:AD21,AD39:AD42,AD60:AD63)</f>
        <v>13000</v>
      </c>
      <c r="AX18" t="s">
        <v>47</v>
      </c>
      <c r="AY18" s="3">
        <v>13000</v>
      </c>
      <c r="AZ18" s="3" t="s">
        <v>33</v>
      </c>
      <c r="BB18" s="10" t="s">
        <v>19</v>
      </c>
      <c r="BC18" cm="1">
        <f t="array" ref="BC18:BN21">H18:S21*(V18:AG21/B7)*952</f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 s="13" t="s">
        <v>37</v>
      </c>
      <c r="F19" s="3"/>
      <c r="G19" s="10" t="s">
        <v>20</v>
      </c>
      <c r="H19" s="3">
        <v>416.56545699999998</v>
      </c>
      <c r="I19" s="3">
        <v>2530.90245</v>
      </c>
      <c r="J19" s="3">
        <v>2141.5278499999999</v>
      </c>
      <c r="K19" s="3">
        <v>564.91897100000006</v>
      </c>
      <c r="L19" s="3">
        <v>675.90874699999995</v>
      </c>
      <c r="M19" s="3">
        <v>312.09291200000001</v>
      </c>
      <c r="N19" s="3">
        <v>172.38078300000001</v>
      </c>
      <c r="O19" s="3">
        <v>622.62840600000004</v>
      </c>
      <c r="P19" s="3">
        <v>1497.87247</v>
      </c>
      <c r="Q19" s="3">
        <v>1388.1726100000001</v>
      </c>
      <c r="R19" s="3">
        <v>1586.1347900000001</v>
      </c>
      <c r="S19" s="3">
        <v>1984.94219</v>
      </c>
      <c r="T19" s="3"/>
      <c r="U19" s="10" t="s">
        <v>20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I19" s="10" t="s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f>SUM(AE18:AE21,AE39:AE42,AE60:AE63)</f>
        <v>1000</v>
      </c>
      <c r="AX19" t="s">
        <v>47</v>
      </c>
      <c r="AY19" s="3">
        <v>1000</v>
      </c>
      <c r="AZ19" s="3" t="s">
        <v>34</v>
      </c>
      <c r="BB19" s="10" t="s">
        <v>20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 s="3" t="s">
        <v>15</v>
      </c>
      <c r="B20" s="3" t="s">
        <v>24</v>
      </c>
      <c r="C20" s="3" t="s">
        <v>17</v>
      </c>
      <c r="D20" s="3" t="s">
        <v>18</v>
      </c>
      <c r="E20" s="3" t="s">
        <v>38</v>
      </c>
      <c r="F20" s="3"/>
      <c r="G20" s="10" t="s">
        <v>21</v>
      </c>
      <c r="H20" s="3">
        <v>1980.3791900000001</v>
      </c>
      <c r="I20" s="3">
        <v>2361.1644700000002</v>
      </c>
      <c r="J20" s="3">
        <v>2103.7152599999999</v>
      </c>
      <c r="K20" s="3">
        <v>2081.5314899999998</v>
      </c>
      <c r="L20" s="3">
        <v>1273.04423</v>
      </c>
      <c r="M20" s="3">
        <v>1702.8825099999999</v>
      </c>
      <c r="N20" s="3">
        <v>1665.1453899999999</v>
      </c>
      <c r="O20" s="3">
        <v>943.28114500000004</v>
      </c>
      <c r="P20" s="3">
        <v>222.38847799999999</v>
      </c>
      <c r="Q20" s="3">
        <v>2940.4324900000001</v>
      </c>
      <c r="R20" s="3">
        <v>3129.52936</v>
      </c>
      <c r="S20" s="3">
        <v>713.93908599999997</v>
      </c>
      <c r="T20" s="3"/>
      <c r="U20" s="10" t="s">
        <v>21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3"/>
      <c r="AI20" s="10" t="s">
        <v>21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f>SUM(AF18:AF21,AF39:AF42,AF60:AF63)</f>
        <v>44000</v>
      </c>
      <c r="AX20" t="s">
        <v>47</v>
      </c>
      <c r="AY20" s="3">
        <v>44000</v>
      </c>
      <c r="AZ20" s="3" t="s">
        <v>35</v>
      </c>
      <c r="BB20" s="10" t="s">
        <v>21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 s="3" t="s">
        <v>19</v>
      </c>
      <c r="B21" s="3">
        <v>4.7682692299999996</v>
      </c>
      <c r="C21" s="3">
        <v>50.029000000000003</v>
      </c>
      <c r="D21" s="3">
        <v>15.808999999999999</v>
      </c>
      <c r="E21" s="3">
        <v>45000</v>
      </c>
      <c r="F21" s="3"/>
      <c r="G21" s="10" t="s">
        <v>22</v>
      </c>
      <c r="H21" s="3">
        <v>2319.27882</v>
      </c>
      <c r="I21" s="3">
        <v>392.73576100000002</v>
      </c>
      <c r="J21" s="3">
        <v>9.1108617400000007</v>
      </c>
      <c r="K21" s="3">
        <v>2163.5780500000001</v>
      </c>
      <c r="L21" s="3">
        <v>1496.75197</v>
      </c>
      <c r="M21" s="3">
        <v>2453.0090399999999</v>
      </c>
      <c r="N21" s="3">
        <v>2049.0579200000002</v>
      </c>
      <c r="O21" s="3">
        <v>2023.5485900000001</v>
      </c>
      <c r="P21" s="3">
        <v>1874.7082700000001</v>
      </c>
      <c r="Q21" s="3">
        <v>2775.6073999999999</v>
      </c>
      <c r="R21" s="3">
        <v>2849.5451200000002</v>
      </c>
      <c r="S21" s="3">
        <v>2806.9366500000001</v>
      </c>
      <c r="T21" s="3"/>
      <c r="U21" s="10" t="s">
        <v>22</v>
      </c>
      <c r="V21" s="15">
        <v>0</v>
      </c>
      <c r="W21" s="15">
        <v>6000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3"/>
      <c r="AI21" s="10" t="s">
        <v>22</v>
      </c>
      <c r="AJ21">
        <v>0</v>
      </c>
      <c r="AK21">
        <v>114653.56269439201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W21">
        <f>SUM(AG18:AG21,AG39:AG42,AG60:AG63)</f>
        <v>500</v>
      </c>
      <c r="AX21" t="s">
        <v>47</v>
      </c>
      <c r="AY21" s="3">
        <v>500</v>
      </c>
      <c r="AZ21" s="3" t="s">
        <v>36</v>
      </c>
      <c r="BB21" s="10" t="s">
        <v>22</v>
      </c>
      <c r="BC21">
        <v>0</v>
      </c>
      <c r="BD21">
        <v>5899896.5337681603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 s="3" t="s">
        <v>20</v>
      </c>
      <c r="B22" s="3">
        <v>5.6759230799999996</v>
      </c>
      <c r="C22" s="3">
        <v>50.334299999999999</v>
      </c>
      <c r="D22" s="3">
        <v>2.9289999999999998</v>
      </c>
      <c r="E22" s="3">
        <v>150000</v>
      </c>
      <c r="F22" s="3"/>
      <c r="G22" s="3"/>
      <c r="H22" s="4"/>
    </row>
    <row r="23" spans="1:66" x14ac:dyDescent="0.2">
      <c r="A23" s="3" t="s">
        <v>21</v>
      </c>
      <c r="B23" s="3">
        <v>4.42603846</v>
      </c>
      <c r="C23" s="3">
        <v>56.896000000000001</v>
      </c>
      <c r="D23" s="3">
        <v>24.045999999999999</v>
      </c>
      <c r="E23" s="3">
        <v>75000</v>
      </c>
      <c r="F23" s="3"/>
      <c r="G23" s="3"/>
      <c r="H23" s="3"/>
      <c r="AB23" s="1"/>
      <c r="AW23" s="1" t="s">
        <v>48</v>
      </c>
    </row>
    <row r="24" spans="1:66" x14ac:dyDescent="0.2">
      <c r="A24" s="3" t="s">
        <v>22</v>
      </c>
      <c r="B24" s="3">
        <v>7.0865</v>
      </c>
      <c r="C24" s="3">
        <v>38.043999999999997</v>
      </c>
      <c r="D24" s="3">
        <v>23.798999999999999</v>
      </c>
      <c r="E24" s="3">
        <v>100000</v>
      </c>
      <c r="F24" s="3"/>
      <c r="G24" s="1" t="s">
        <v>63</v>
      </c>
      <c r="H24" s="9" t="s">
        <v>8</v>
      </c>
      <c r="I24" s="9" t="s">
        <v>9</v>
      </c>
      <c r="J24" s="9" t="s">
        <v>10</v>
      </c>
      <c r="U24" s="4" t="s">
        <v>63</v>
      </c>
      <c r="V24" s="9" t="s">
        <v>8</v>
      </c>
      <c r="W24" s="9" t="s">
        <v>9</v>
      </c>
      <c r="X24" s="9" t="s">
        <v>10</v>
      </c>
      <c r="AB24" s="1"/>
      <c r="AH24" s="3"/>
      <c r="AI24" s="4" t="s">
        <v>63</v>
      </c>
      <c r="AJ24" s="9" t="s">
        <v>8</v>
      </c>
      <c r="AK24" s="9" t="s">
        <v>9</v>
      </c>
      <c r="AL24" s="9" t="s">
        <v>10</v>
      </c>
      <c r="AW24">
        <f>SUM(V4:V5,V25:V26,V46:V47)</f>
        <v>0</v>
      </c>
      <c r="AX24" t="s">
        <v>47</v>
      </c>
      <c r="AY24">
        <f>SUM(V8:Y8,V29:Y29,V50:Y50)</f>
        <v>0</v>
      </c>
      <c r="AZ24" s="3" t="s">
        <v>8</v>
      </c>
      <c r="BB24" s="4" t="s">
        <v>63</v>
      </c>
      <c r="BC24" s="9" t="s">
        <v>8</v>
      </c>
      <c r="BD24" s="9" t="s">
        <v>9</v>
      </c>
      <c r="BE24" s="9" t="s">
        <v>10</v>
      </c>
    </row>
    <row r="25" spans="1:66" x14ac:dyDescent="0.2">
      <c r="A25" s="3"/>
      <c r="B25" s="3"/>
      <c r="C25" s="3"/>
      <c r="D25" s="3"/>
      <c r="E25" s="3"/>
      <c r="F25" s="3"/>
      <c r="G25" s="25" t="s">
        <v>12</v>
      </c>
      <c r="H25" s="30">
        <v>1E+30</v>
      </c>
      <c r="I25" s="30">
        <v>1E+30</v>
      </c>
      <c r="J25" s="30">
        <v>1E+30</v>
      </c>
      <c r="K25" s="29"/>
      <c r="U25" s="8" t="s">
        <v>12</v>
      </c>
      <c r="V25">
        <v>0</v>
      </c>
      <c r="W25">
        <v>0</v>
      </c>
      <c r="X25">
        <v>0</v>
      </c>
      <c r="AG25" s="3"/>
      <c r="AH25" s="3"/>
      <c r="AI25" s="8" t="s">
        <v>12</v>
      </c>
      <c r="AJ25" s="3">
        <v>0</v>
      </c>
      <c r="AK25" s="3">
        <v>0</v>
      </c>
      <c r="AL25" s="3">
        <v>0</v>
      </c>
      <c r="AW25">
        <f>SUM(W4:W5,W25:W26,W46:W47)</f>
        <v>234500</v>
      </c>
      <c r="AX25" t="s">
        <v>47</v>
      </c>
      <c r="AY25">
        <f>SUM(V9:Y9,V30:Y30,V51:Y51)</f>
        <v>234500</v>
      </c>
      <c r="AZ25" s="3" t="s">
        <v>9</v>
      </c>
      <c r="BB25" s="8" t="s">
        <v>12</v>
      </c>
      <c r="BC25" s="3">
        <v>0</v>
      </c>
      <c r="BD25" s="3">
        <v>0</v>
      </c>
      <c r="BE25" s="3">
        <v>0</v>
      </c>
    </row>
    <row r="26" spans="1:66" x14ac:dyDescent="0.2">
      <c r="A26" s="12" t="s">
        <v>40</v>
      </c>
      <c r="B26" s="3"/>
      <c r="C26" s="3"/>
      <c r="D26" s="3"/>
      <c r="E26" s="3"/>
      <c r="F26" s="3"/>
      <c r="G26" s="25" t="s">
        <v>14</v>
      </c>
      <c r="H26" s="30">
        <v>1E+30</v>
      </c>
      <c r="I26" s="30">
        <v>1E+30</v>
      </c>
      <c r="J26" s="30">
        <v>1E+30</v>
      </c>
      <c r="M26" s="30"/>
      <c r="U26" s="8" t="s">
        <v>14</v>
      </c>
      <c r="V26">
        <v>0</v>
      </c>
      <c r="W26">
        <v>0</v>
      </c>
      <c r="X26">
        <v>0</v>
      </c>
      <c r="AC26" s="3"/>
      <c r="AD26" s="3"/>
      <c r="AE26" s="3"/>
      <c r="AF26" s="3"/>
      <c r="AG26" s="3"/>
      <c r="AH26" s="3"/>
      <c r="AI26" s="8" t="s">
        <v>14</v>
      </c>
      <c r="AJ26" s="3">
        <v>0</v>
      </c>
      <c r="AK26" s="3">
        <v>0</v>
      </c>
      <c r="AL26" s="3">
        <v>0</v>
      </c>
      <c r="AW26">
        <f>SUM(X4:X5,X25:X26,X46:X47)</f>
        <v>0</v>
      </c>
      <c r="AX26" t="s">
        <v>47</v>
      </c>
      <c r="AY26">
        <f>SUM(V10:Y10,V31:Y31,V52:Y52)</f>
        <v>0</v>
      </c>
      <c r="AZ26" s="3" t="s">
        <v>10</v>
      </c>
      <c r="BB26" s="8" t="s">
        <v>14</v>
      </c>
      <c r="BC26" s="3">
        <v>0</v>
      </c>
      <c r="BD26" s="3">
        <v>0</v>
      </c>
      <c r="BE26" s="3">
        <v>0</v>
      </c>
    </row>
    <row r="27" spans="1:66" x14ac:dyDescent="0.2">
      <c r="A27" s="3" t="s">
        <v>15</v>
      </c>
      <c r="B27" s="3" t="s">
        <v>3</v>
      </c>
      <c r="C27" s="3" t="s">
        <v>17</v>
      </c>
      <c r="D27" s="3" t="s">
        <v>18</v>
      </c>
      <c r="E27" s="3"/>
      <c r="F27" s="3"/>
      <c r="U27" s="2"/>
      <c r="V27" s="2"/>
      <c r="W27" s="2"/>
      <c r="X27" s="2"/>
      <c r="Y27" s="2"/>
      <c r="Z27" s="2"/>
      <c r="AC27" s="2"/>
      <c r="AD27" s="2"/>
      <c r="AE27" s="2"/>
      <c r="AF27" s="2"/>
      <c r="AG27" s="2"/>
      <c r="AI27" s="2"/>
      <c r="AW27">
        <f>SUM(V8:V10,V29:V31,V50:V52)</f>
        <v>45000</v>
      </c>
      <c r="AX27" t="s">
        <v>47</v>
      </c>
      <c r="AY27">
        <f>SUM(V18:AG18,V39:AG39,V60:AG60)</f>
        <v>45000</v>
      </c>
      <c r="AZ27" t="s">
        <v>19</v>
      </c>
      <c r="BB27" s="2"/>
    </row>
    <row r="28" spans="1:66" x14ac:dyDescent="0.2">
      <c r="A28" s="3" t="s">
        <v>25</v>
      </c>
      <c r="B28" s="3">
        <v>7000</v>
      </c>
      <c r="C28" s="3">
        <v>47.9556915</v>
      </c>
      <c r="D28" s="3">
        <v>-1.495366</v>
      </c>
      <c r="E28" s="3"/>
      <c r="F28" s="3"/>
      <c r="G28" s="1" t="s">
        <v>63</v>
      </c>
      <c r="H28" s="10" t="s">
        <v>19</v>
      </c>
      <c r="I28" s="10" t="s">
        <v>20</v>
      </c>
      <c r="J28" s="10" t="s">
        <v>21</v>
      </c>
      <c r="K28" s="10" t="s">
        <v>22</v>
      </c>
      <c r="U28" s="1" t="s">
        <v>63</v>
      </c>
      <c r="V28" s="10" t="s">
        <v>19</v>
      </c>
      <c r="W28" s="10" t="s">
        <v>20</v>
      </c>
      <c r="X28" s="10" t="s">
        <v>21</v>
      </c>
      <c r="Y28" s="10" t="s">
        <v>22</v>
      </c>
      <c r="AI28" s="1" t="s">
        <v>63</v>
      </c>
      <c r="AJ28" s="10" t="s">
        <v>19</v>
      </c>
      <c r="AK28" s="10" t="s">
        <v>20</v>
      </c>
      <c r="AL28" s="10" t="s">
        <v>21</v>
      </c>
      <c r="AM28" s="10" t="s">
        <v>22</v>
      </c>
      <c r="AW28">
        <f>SUM(W8:W10,W29:W31,W50:W52)</f>
        <v>62000</v>
      </c>
      <c r="AX28" t="s">
        <v>47</v>
      </c>
      <c r="AY28">
        <f>SUM(V19:AG19,V40:AG40,V61:AG61)</f>
        <v>62000</v>
      </c>
      <c r="AZ28" t="s">
        <v>20</v>
      </c>
      <c r="BB28" s="1" t="s">
        <v>63</v>
      </c>
      <c r="BC28" s="10" t="s">
        <v>19</v>
      </c>
      <c r="BD28" s="10" t="s">
        <v>20</v>
      </c>
      <c r="BE28" s="10" t="s">
        <v>21</v>
      </c>
      <c r="BF28" s="10" t="s">
        <v>22</v>
      </c>
    </row>
    <row r="29" spans="1:66" x14ac:dyDescent="0.2">
      <c r="A29" s="3" t="s">
        <v>26</v>
      </c>
      <c r="B29" s="3">
        <v>6000</v>
      </c>
      <c r="C29" s="3">
        <v>35.773417600000002</v>
      </c>
      <c r="D29" s="3">
        <v>27.1814307</v>
      </c>
      <c r="E29" s="3"/>
      <c r="F29" s="3"/>
      <c r="G29" s="27" t="s">
        <v>8</v>
      </c>
      <c r="H29">
        <v>283.57459999999998</v>
      </c>
      <c r="I29">
        <v>1286.4165</v>
      </c>
      <c r="J29">
        <v>1362.1052</v>
      </c>
      <c r="K29">
        <v>1682.0897</v>
      </c>
      <c r="U29" s="9" t="s">
        <v>8</v>
      </c>
      <c r="V29" s="15">
        <v>0</v>
      </c>
      <c r="W29" s="15">
        <v>0</v>
      </c>
      <c r="X29" s="15">
        <v>0</v>
      </c>
      <c r="Y29" s="15">
        <v>0</v>
      </c>
      <c r="AI29" s="9" t="s">
        <v>8</v>
      </c>
      <c r="AJ29" cm="1">
        <f t="array" ref="AJ29:AM31">(D5*H29:K31+B15:B17)*V29:Y31</f>
        <v>0</v>
      </c>
      <c r="AK29">
        <v>0</v>
      </c>
      <c r="AL29">
        <v>0</v>
      </c>
      <c r="AM29">
        <v>0</v>
      </c>
      <c r="AW29">
        <f>SUM(X8:X10,X29:X31,X50:X52)</f>
        <v>27500</v>
      </c>
      <c r="AX29" t="s">
        <v>47</v>
      </c>
      <c r="AY29">
        <f>SUM(V20:AG20,V41:AG41,V62:AG62)</f>
        <v>27500</v>
      </c>
      <c r="AZ29" t="s">
        <v>21</v>
      </c>
      <c r="BB29" s="9" t="s">
        <v>8</v>
      </c>
      <c r="BC29" cm="1">
        <f t="array" ref="BC29:BF36">H29:K36*(V29:Y36/B7)*73</f>
        <v>0</v>
      </c>
      <c r="BD29">
        <v>0</v>
      </c>
      <c r="BE29">
        <v>0</v>
      </c>
      <c r="BF29">
        <v>0</v>
      </c>
    </row>
    <row r="30" spans="1:66" x14ac:dyDescent="0.2">
      <c r="A30" s="3" t="s">
        <v>27</v>
      </c>
      <c r="B30" s="3">
        <v>114500</v>
      </c>
      <c r="C30" s="3">
        <v>37.983941199999997</v>
      </c>
      <c r="D30" s="3">
        <v>23.728305200000001</v>
      </c>
      <c r="E30" s="3"/>
      <c r="F30" s="3"/>
      <c r="G30" s="27" t="s">
        <v>9</v>
      </c>
      <c r="H30">
        <v>655.22719999999902</v>
      </c>
      <c r="I30">
        <v>1426.5703000000001</v>
      </c>
      <c r="J30">
        <v>540.0489</v>
      </c>
      <c r="K30">
        <v>2539.2773999999999</v>
      </c>
      <c r="U30" s="9" t="s">
        <v>9</v>
      </c>
      <c r="V30" s="15">
        <v>45000</v>
      </c>
      <c r="W30" s="15">
        <v>62000</v>
      </c>
      <c r="X30" s="15">
        <v>27500</v>
      </c>
      <c r="Y30" s="15">
        <v>100000</v>
      </c>
      <c r="AI30" s="9" t="s">
        <v>9</v>
      </c>
      <c r="AJ30">
        <v>768416.5572299991</v>
      </c>
      <c r="AK30">
        <v>1991021.9481670002</v>
      </c>
      <c r="AL30">
        <v>407839.36972625001</v>
      </c>
      <c r="AM30">
        <v>5380548.2142999992</v>
      </c>
      <c r="AW30">
        <f>SUM(Y8:Y10,Y29:Y31,Y50:Y52)</f>
        <v>100000</v>
      </c>
      <c r="AX30" t="s">
        <v>47</v>
      </c>
      <c r="AY30">
        <f>SUM(V21:AG21,V42:AG42,V63:AG63)</f>
        <v>100000</v>
      </c>
      <c r="AZ30" t="s">
        <v>22</v>
      </c>
      <c r="BB30" s="9" t="s">
        <v>9</v>
      </c>
      <c r="BC30">
        <v>5660868.1557599911</v>
      </c>
      <c r="BD30">
        <v>16981008.377613999</v>
      </c>
      <c r="BE30">
        <v>2851309.6785524995</v>
      </c>
      <c r="BF30">
        <v>48751586.802599996</v>
      </c>
    </row>
    <row r="31" spans="1:66" x14ac:dyDescent="0.2">
      <c r="A31" s="3" t="s">
        <v>28</v>
      </c>
      <c r="B31" s="3">
        <v>3000</v>
      </c>
      <c r="C31" s="3">
        <v>45.747956299999998</v>
      </c>
      <c r="D31" s="3">
        <v>-0.33856140000000001</v>
      </c>
      <c r="E31" s="3"/>
      <c r="F31" s="3"/>
      <c r="G31" s="27" t="s">
        <v>10</v>
      </c>
      <c r="H31">
        <v>1152.3353999999999</v>
      </c>
      <c r="I31">
        <v>157.0652</v>
      </c>
      <c r="J31">
        <v>2094.0954999999999</v>
      </c>
      <c r="K31">
        <v>2889.6354999999999</v>
      </c>
      <c r="U31" s="9" t="s">
        <v>10</v>
      </c>
      <c r="V31" s="15">
        <v>0</v>
      </c>
      <c r="W31" s="15">
        <v>0</v>
      </c>
      <c r="X31" s="15">
        <v>0</v>
      </c>
      <c r="Y31" s="15">
        <v>0</v>
      </c>
      <c r="AI31" s="9" t="s">
        <v>10</v>
      </c>
      <c r="AJ31">
        <v>0</v>
      </c>
      <c r="AK31">
        <v>0</v>
      </c>
      <c r="AL31">
        <v>0</v>
      </c>
      <c r="AM31">
        <v>0</v>
      </c>
      <c r="BB31" s="9" t="s">
        <v>10</v>
      </c>
      <c r="BC31">
        <v>0</v>
      </c>
      <c r="BD31">
        <v>0</v>
      </c>
      <c r="BE31">
        <v>0</v>
      </c>
      <c r="BF31">
        <v>0</v>
      </c>
    </row>
    <row r="32" spans="1:66" x14ac:dyDescent="0.2">
      <c r="A32" s="3" t="s">
        <v>29</v>
      </c>
      <c r="B32" s="3">
        <v>16500</v>
      </c>
      <c r="C32" s="3">
        <v>48.224243399999999</v>
      </c>
      <c r="D32" s="3">
        <v>11.6715263</v>
      </c>
      <c r="E32" s="3"/>
      <c r="F32" s="3"/>
      <c r="AW32" s="1"/>
      <c r="BC32">
        <v>0</v>
      </c>
      <c r="BD32">
        <v>0</v>
      </c>
      <c r="BE32">
        <v>0</v>
      </c>
      <c r="BF32">
        <v>0</v>
      </c>
    </row>
    <row r="33" spans="1:66" x14ac:dyDescent="0.2">
      <c r="A33" s="3" t="s">
        <v>30</v>
      </c>
      <c r="B33" s="3">
        <v>6500</v>
      </c>
      <c r="C33" s="3">
        <v>51.783499399999997</v>
      </c>
      <c r="D33" s="3">
        <v>-0.89464410000000005</v>
      </c>
      <c r="E33" s="3"/>
      <c r="F33" s="3"/>
      <c r="AG33" s="3"/>
      <c r="AW33" s="1"/>
      <c r="BC33">
        <v>0</v>
      </c>
      <c r="BD33">
        <v>0</v>
      </c>
      <c r="BE33">
        <v>0</v>
      </c>
      <c r="BF33">
        <v>0</v>
      </c>
    </row>
    <row r="34" spans="1:66" x14ac:dyDescent="0.2">
      <c r="A34" s="3" t="s">
        <v>31</v>
      </c>
      <c r="B34" s="3">
        <v>500</v>
      </c>
      <c r="C34" s="3">
        <v>48.785892099999998</v>
      </c>
      <c r="D34" s="3">
        <v>3.0292059</v>
      </c>
      <c r="E34" s="3"/>
      <c r="F34" s="3"/>
      <c r="AG34" s="3"/>
      <c r="BC34">
        <v>0</v>
      </c>
      <c r="BD34">
        <v>0</v>
      </c>
      <c r="BE34">
        <v>0</v>
      </c>
      <c r="BF34">
        <v>0</v>
      </c>
    </row>
    <row r="35" spans="1:66" x14ac:dyDescent="0.2">
      <c r="A35" s="3" t="s">
        <v>32</v>
      </c>
      <c r="B35" s="3">
        <v>22000</v>
      </c>
      <c r="C35" s="3">
        <v>53.6736529</v>
      </c>
      <c r="D35" s="3">
        <v>10.2358999</v>
      </c>
      <c r="E35" s="3"/>
      <c r="F35" s="3"/>
      <c r="BC35">
        <v>0</v>
      </c>
      <c r="BD35">
        <v>0</v>
      </c>
      <c r="BE35">
        <v>0</v>
      </c>
      <c r="BF35">
        <v>0</v>
      </c>
    </row>
    <row r="36" spans="1:66" x14ac:dyDescent="0.2">
      <c r="A36" s="3" t="s">
        <v>33</v>
      </c>
      <c r="B36" s="3">
        <v>13000</v>
      </c>
      <c r="C36" s="3">
        <v>54.898213900000002</v>
      </c>
      <c r="D36" s="3">
        <v>23.904481700000002</v>
      </c>
      <c r="E36" s="3"/>
      <c r="F36" s="3"/>
      <c r="BC36">
        <v>0</v>
      </c>
      <c r="BD36">
        <v>0</v>
      </c>
      <c r="BE36">
        <v>0</v>
      </c>
      <c r="BF36">
        <v>0</v>
      </c>
    </row>
    <row r="37" spans="1:66" x14ac:dyDescent="0.2">
      <c r="A37" s="3" t="s">
        <v>34</v>
      </c>
      <c r="B37" s="3">
        <v>1000</v>
      </c>
      <c r="C37" s="3">
        <v>40.713449099999998</v>
      </c>
      <c r="D37" s="3">
        <v>-8.4825639000000006</v>
      </c>
      <c r="E37" s="3"/>
      <c r="F37" s="3"/>
      <c r="T37" s="1"/>
    </row>
    <row r="38" spans="1:66" x14ac:dyDescent="0.2">
      <c r="A38" s="3" t="s">
        <v>35</v>
      </c>
      <c r="B38" s="3">
        <v>44000</v>
      </c>
      <c r="C38" s="3">
        <v>38.8735511</v>
      </c>
      <c r="D38" s="3">
        <v>-9.0785503999999992</v>
      </c>
      <c r="E38" s="3"/>
      <c r="F38" s="3"/>
      <c r="G38" s="1" t="s">
        <v>63</v>
      </c>
      <c r="H38" s="11" t="s">
        <v>25</v>
      </c>
      <c r="I38" s="11" t="s">
        <v>26</v>
      </c>
      <c r="J38" s="11" t="s">
        <v>27</v>
      </c>
      <c r="K38" s="11" t="s">
        <v>28</v>
      </c>
      <c r="L38" s="11" t="s">
        <v>29</v>
      </c>
      <c r="M38" s="11" t="s">
        <v>30</v>
      </c>
      <c r="N38" s="11" t="s">
        <v>31</v>
      </c>
      <c r="O38" s="11" t="s">
        <v>32</v>
      </c>
      <c r="P38" s="11" t="s">
        <v>33</v>
      </c>
      <c r="Q38" s="11" t="s">
        <v>34</v>
      </c>
      <c r="R38" s="11" t="s">
        <v>35</v>
      </c>
      <c r="S38" s="11" t="s">
        <v>36</v>
      </c>
      <c r="T38" s="1"/>
      <c r="U38" s="1" t="s">
        <v>63</v>
      </c>
      <c r="V38" s="11" t="s">
        <v>25</v>
      </c>
      <c r="W38" s="11" t="s">
        <v>26</v>
      </c>
      <c r="X38" s="11" t="s">
        <v>27</v>
      </c>
      <c r="Y38" s="11" t="s">
        <v>28</v>
      </c>
      <c r="Z38" s="11" t="s">
        <v>29</v>
      </c>
      <c r="AA38" s="11" t="s">
        <v>30</v>
      </c>
      <c r="AB38" s="11" t="s">
        <v>31</v>
      </c>
      <c r="AC38" s="11" t="s">
        <v>32</v>
      </c>
      <c r="AD38" s="11" t="s">
        <v>33</v>
      </c>
      <c r="AE38" s="11" t="s">
        <v>34</v>
      </c>
      <c r="AF38" s="11" t="s">
        <v>35</v>
      </c>
      <c r="AG38" s="11" t="s">
        <v>36</v>
      </c>
      <c r="AI38" s="1" t="s">
        <v>63</v>
      </c>
      <c r="AJ38" s="11" t="s">
        <v>25</v>
      </c>
      <c r="AK38" s="11" t="s">
        <v>26</v>
      </c>
      <c r="AL38" s="11" t="s">
        <v>27</v>
      </c>
      <c r="AM38" s="11" t="s">
        <v>28</v>
      </c>
      <c r="AN38" s="11" t="s">
        <v>29</v>
      </c>
      <c r="AO38" s="11" t="s">
        <v>30</v>
      </c>
      <c r="AP38" s="11" t="s">
        <v>31</v>
      </c>
      <c r="AQ38" s="11" t="s">
        <v>32</v>
      </c>
      <c r="AR38" s="11" t="s">
        <v>33</v>
      </c>
      <c r="AS38" s="11" t="s">
        <v>34</v>
      </c>
      <c r="AT38" s="11" t="s">
        <v>35</v>
      </c>
      <c r="AU38" s="11" t="s">
        <v>36</v>
      </c>
      <c r="BB38" s="1" t="s">
        <v>63</v>
      </c>
      <c r="BC38" s="11" t="s">
        <v>25</v>
      </c>
      <c r="BD38" s="11" t="s">
        <v>26</v>
      </c>
      <c r="BE38" s="11" t="s">
        <v>27</v>
      </c>
      <c r="BF38" s="11" t="s">
        <v>28</v>
      </c>
      <c r="BG38" s="11" t="s">
        <v>29</v>
      </c>
      <c r="BH38" s="11" t="s">
        <v>30</v>
      </c>
      <c r="BI38" s="11" t="s">
        <v>31</v>
      </c>
      <c r="BJ38" s="11" t="s">
        <v>32</v>
      </c>
      <c r="BK38" s="11" t="s">
        <v>33</v>
      </c>
      <c r="BL38" s="11" t="s">
        <v>34</v>
      </c>
      <c r="BM38" s="11" t="s">
        <v>35</v>
      </c>
      <c r="BN38" s="11" t="s">
        <v>36</v>
      </c>
    </row>
    <row r="39" spans="1:66" x14ac:dyDescent="0.2">
      <c r="A39" s="3" t="s">
        <v>36</v>
      </c>
      <c r="B39" s="3">
        <v>500</v>
      </c>
      <c r="C39" s="3">
        <v>63.246777700000003</v>
      </c>
      <c r="D39" s="3">
        <v>25.920916399999999</v>
      </c>
      <c r="E39" s="3"/>
      <c r="F39" s="3"/>
      <c r="G39" s="28" t="s">
        <v>19</v>
      </c>
      <c r="H39">
        <v>1490.4829</v>
      </c>
      <c r="I39">
        <v>2651.3577999999902</v>
      </c>
      <c r="J39">
        <v>1926.7511</v>
      </c>
      <c r="K39">
        <v>1629.3367000000001</v>
      </c>
      <c r="L39">
        <v>499.1123</v>
      </c>
      <c r="M39">
        <v>1476.8573999999901</v>
      </c>
      <c r="N39">
        <v>1126.5368000000001</v>
      </c>
      <c r="O39">
        <v>757.14750000000004</v>
      </c>
      <c r="P39">
        <v>957.81029999999998</v>
      </c>
      <c r="Q39">
        <v>2655.6288999999902</v>
      </c>
      <c r="R39">
        <v>2815.5151999999998</v>
      </c>
      <c r="S39">
        <v>3241.7808999999902</v>
      </c>
      <c r="U39" s="10" t="s">
        <v>19</v>
      </c>
      <c r="V39" s="15">
        <v>0</v>
      </c>
      <c r="W39" s="15">
        <v>0</v>
      </c>
      <c r="X39" s="15">
        <v>20500</v>
      </c>
      <c r="Y39" s="15">
        <v>0</v>
      </c>
      <c r="Z39" s="15">
        <v>16500</v>
      </c>
      <c r="AA39" s="15">
        <v>0</v>
      </c>
      <c r="AB39" s="15">
        <v>0</v>
      </c>
      <c r="AC39" s="15">
        <v>8000</v>
      </c>
      <c r="AD39" s="15">
        <v>0</v>
      </c>
      <c r="AE39" s="15">
        <v>0</v>
      </c>
      <c r="AF39" s="15">
        <v>0</v>
      </c>
      <c r="AG39" s="15">
        <v>0</v>
      </c>
      <c r="AI39" s="10" t="s">
        <v>19</v>
      </c>
      <c r="AJ39" cm="1">
        <f t="array" ref="AJ39:AU42">(D5*H39:S42+B21:B24)*V39:AG42</f>
        <v>0</v>
      </c>
      <c r="AK39">
        <v>0</v>
      </c>
      <c r="AL39">
        <v>867770.77945224999</v>
      </c>
      <c r="AM39">
        <v>0</v>
      </c>
      <c r="AN39">
        <v>239224.64805525</v>
      </c>
      <c r="AO39">
        <v>0</v>
      </c>
      <c r="AP39">
        <v>0</v>
      </c>
      <c r="AQ39">
        <v>156230.87794000001</v>
      </c>
      <c r="AR39">
        <v>0</v>
      </c>
      <c r="AS39">
        <v>0</v>
      </c>
      <c r="AT39">
        <v>0</v>
      </c>
      <c r="AU39">
        <v>0</v>
      </c>
      <c r="BB39" s="10" t="s">
        <v>19</v>
      </c>
      <c r="BC39" cm="1">
        <f t="array" ref="BC39:BN42">H39:S42*(V39:AG42/B7)*73</f>
        <v>0</v>
      </c>
      <c r="BD39">
        <v>0</v>
      </c>
      <c r="BE39">
        <v>7583297.3456244981</v>
      </c>
      <c r="BF39">
        <v>0</v>
      </c>
      <c r="BG39">
        <v>1581105.4128705</v>
      </c>
      <c r="BH39">
        <v>0</v>
      </c>
      <c r="BI39">
        <v>0</v>
      </c>
      <c r="BJ39">
        <v>1162917.9882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 s="3"/>
      <c r="B40" s="3"/>
      <c r="C40" s="3"/>
      <c r="D40" s="3"/>
      <c r="E40" s="3"/>
      <c r="F40" s="3"/>
      <c r="G40" s="28" t="s">
        <v>20</v>
      </c>
      <c r="H40">
        <v>522.65139999999997</v>
      </c>
      <c r="I40">
        <v>3650.8874000000001</v>
      </c>
      <c r="J40">
        <v>2926.2808</v>
      </c>
      <c r="K40">
        <v>661.50519999999995</v>
      </c>
      <c r="L40">
        <v>862.62419999999997</v>
      </c>
      <c r="M40">
        <v>376.52109999999999</v>
      </c>
      <c r="N40">
        <v>198.95500000000001</v>
      </c>
      <c r="O40">
        <v>737.48379999999997</v>
      </c>
      <c r="P40">
        <v>1843.174</v>
      </c>
      <c r="Q40">
        <v>1741.4002</v>
      </c>
      <c r="R40">
        <v>1901.2865999999999</v>
      </c>
      <c r="S40">
        <v>3197.3615</v>
      </c>
      <c r="U40" s="10" t="s">
        <v>20</v>
      </c>
      <c r="V40" s="15">
        <v>7000</v>
      </c>
      <c r="W40" s="15">
        <v>0</v>
      </c>
      <c r="X40" s="15">
        <v>0</v>
      </c>
      <c r="Y40" s="15">
        <v>3000</v>
      </c>
      <c r="Z40" s="15">
        <v>0</v>
      </c>
      <c r="AA40" s="15">
        <v>6500</v>
      </c>
      <c r="AB40" s="15">
        <v>500</v>
      </c>
      <c r="AC40" s="15">
        <v>0</v>
      </c>
      <c r="AD40" s="15">
        <v>0</v>
      </c>
      <c r="AE40" s="15">
        <v>1000</v>
      </c>
      <c r="AF40" s="15">
        <v>44000</v>
      </c>
      <c r="AG40" s="15">
        <v>0</v>
      </c>
      <c r="AI40" s="10" t="s">
        <v>20</v>
      </c>
      <c r="AJ40">
        <v>111055.084861</v>
      </c>
      <c r="AK40">
        <v>0</v>
      </c>
      <c r="AL40">
        <v>0</v>
      </c>
      <c r="AM40">
        <v>55715.900861999988</v>
      </c>
      <c r="AN40">
        <v>0</v>
      </c>
      <c r="AO40">
        <v>84605.312509249998</v>
      </c>
      <c r="AP40">
        <v>4777.2754025000004</v>
      </c>
      <c r="AQ40">
        <v>0</v>
      </c>
      <c r="AR40">
        <v>0</v>
      </c>
      <c r="AS40">
        <v>39624.51997899999</v>
      </c>
      <c r="AT40">
        <v>1880626.2352679998</v>
      </c>
      <c r="AU40">
        <v>0</v>
      </c>
      <c r="AW40" s="1"/>
      <c r="BB40" s="10" t="s">
        <v>20</v>
      </c>
      <c r="BC40">
        <v>702406.89600199973</v>
      </c>
      <c r="BD40">
        <v>0</v>
      </c>
      <c r="BE40">
        <v>0</v>
      </c>
      <c r="BF40">
        <v>381007.15004399989</v>
      </c>
      <c r="BG40">
        <v>0</v>
      </c>
      <c r="BH40">
        <v>469873.85892849998</v>
      </c>
      <c r="BI40">
        <v>19098.685225000001</v>
      </c>
      <c r="BJ40">
        <v>0</v>
      </c>
      <c r="BK40">
        <v>0</v>
      </c>
      <c r="BL40">
        <v>334331.424398</v>
      </c>
      <c r="BM40">
        <v>16061232.630695997</v>
      </c>
      <c r="BN40">
        <v>0</v>
      </c>
    </row>
    <row r="41" spans="1:66" x14ac:dyDescent="0.2">
      <c r="A41" s="3"/>
      <c r="B41" s="3"/>
      <c r="C41" s="3"/>
      <c r="D41" s="3"/>
      <c r="E41" s="3"/>
      <c r="F41" s="3"/>
      <c r="G41" s="28" t="s">
        <v>21</v>
      </c>
      <c r="H41">
        <v>2425.3516</v>
      </c>
      <c r="I41">
        <v>3725.5347999999999</v>
      </c>
      <c r="J41">
        <v>3000.9281999999998</v>
      </c>
      <c r="K41">
        <v>2564.2053999999998</v>
      </c>
      <c r="L41">
        <v>1607.6742999999999</v>
      </c>
      <c r="M41">
        <v>2224.5360000000001</v>
      </c>
      <c r="N41">
        <v>2112.6426000000001</v>
      </c>
      <c r="O41">
        <v>1340.1551999999999</v>
      </c>
      <c r="P41">
        <v>259.6909</v>
      </c>
      <c r="Q41">
        <v>3644.1003999999998</v>
      </c>
      <c r="R41">
        <v>3803.9867999999901</v>
      </c>
      <c r="S41">
        <v>809.4239</v>
      </c>
      <c r="U41" s="10" t="s">
        <v>21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14000</v>
      </c>
      <c r="AD41" s="15">
        <v>13000</v>
      </c>
      <c r="AE41" s="15">
        <v>0</v>
      </c>
      <c r="AF41" s="15">
        <v>0</v>
      </c>
      <c r="AG41" s="15">
        <v>500</v>
      </c>
      <c r="AI41" s="10" t="s">
        <v>21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427733.09717599995</v>
      </c>
      <c r="AR41">
        <v>123353.26322149999</v>
      </c>
      <c r="AS41">
        <v>0</v>
      </c>
      <c r="AT41">
        <v>0</v>
      </c>
      <c r="AU41">
        <v>10102.87869525</v>
      </c>
      <c r="BB41" s="10" t="s">
        <v>21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3602149.5558719989</v>
      </c>
      <c r="BK41">
        <v>648154.72658299992</v>
      </c>
      <c r="BL41">
        <v>0</v>
      </c>
      <c r="BM41">
        <v>0</v>
      </c>
      <c r="BN41">
        <v>77700.647280500008</v>
      </c>
    </row>
    <row r="42" spans="1:66" x14ac:dyDescent="0.2">
      <c r="A42" s="3"/>
      <c r="B42" s="3"/>
      <c r="C42" s="3"/>
      <c r="D42" s="3"/>
      <c r="E42" s="3"/>
      <c r="F42" s="3"/>
      <c r="G42" s="28" t="s">
        <v>22</v>
      </c>
      <c r="H42">
        <v>3220.6667000000002</v>
      </c>
      <c r="I42">
        <v>1847.1787999999999</v>
      </c>
      <c r="J42">
        <v>11.972099999999999</v>
      </c>
      <c r="K42">
        <v>3046.5137999999902</v>
      </c>
      <c r="L42">
        <v>2033.0400999999999</v>
      </c>
      <c r="M42">
        <v>3216.3939</v>
      </c>
      <c r="N42">
        <v>2856.7206000000001</v>
      </c>
      <c r="O42">
        <v>2623.7366000000002</v>
      </c>
      <c r="P42">
        <v>2730.7902999999901</v>
      </c>
      <c r="Q42">
        <v>4048.4632000000001</v>
      </c>
      <c r="R42">
        <v>4208.3495999999996</v>
      </c>
      <c r="S42">
        <v>5108.3700999999901</v>
      </c>
      <c r="U42" s="10" t="s">
        <v>22</v>
      </c>
      <c r="V42" s="15">
        <v>0</v>
      </c>
      <c r="W42" s="15">
        <v>0</v>
      </c>
      <c r="X42" s="15">
        <v>94000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I42" s="10" t="s">
        <v>22</v>
      </c>
      <c r="AJ42">
        <v>0</v>
      </c>
      <c r="AK42">
        <v>0</v>
      </c>
      <c r="AL42">
        <v>688070.23241300008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BB42" s="10" t="s">
        <v>22</v>
      </c>
      <c r="BC42">
        <v>0</v>
      </c>
      <c r="BD42">
        <v>0</v>
      </c>
      <c r="BE42">
        <v>216061.20702599996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 s="3"/>
      <c r="B43" s="3"/>
      <c r="C43" s="3"/>
      <c r="D43" s="3"/>
      <c r="E43" s="3"/>
      <c r="F43" s="3"/>
      <c r="G43" s="3"/>
    </row>
    <row r="44" spans="1:66" x14ac:dyDescent="0.2">
      <c r="A44" s="3"/>
      <c r="B44" s="3"/>
      <c r="C44" s="3"/>
      <c r="D44" s="3"/>
      <c r="E44" s="3"/>
      <c r="F44" s="3"/>
      <c r="Q44" s="3"/>
      <c r="R44" s="3"/>
      <c r="AJ44" s="1"/>
      <c r="BC44" s="1"/>
    </row>
    <row r="45" spans="1:66" x14ac:dyDescent="0.2">
      <c r="A45" s="4"/>
      <c r="B45" s="3"/>
      <c r="C45" s="3"/>
      <c r="D45" s="3"/>
      <c r="E45" s="3"/>
      <c r="F45" s="3"/>
      <c r="G45" s="4" t="s">
        <v>1</v>
      </c>
      <c r="H45" s="9" t="s">
        <v>8</v>
      </c>
      <c r="I45" s="9" t="s">
        <v>9</v>
      </c>
      <c r="J45" s="9" t="s">
        <v>10</v>
      </c>
      <c r="U45" s="4" t="s">
        <v>1</v>
      </c>
      <c r="V45" s="9" t="s">
        <v>8</v>
      </c>
      <c r="W45" s="9" t="s">
        <v>9</v>
      </c>
      <c r="X45" s="9" t="s">
        <v>10</v>
      </c>
      <c r="AB45" s="1"/>
      <c r="AI45" s="4" t="s">
        <v>1</v>
      </c>
      <c r="AJ45" s="9" t="s">
        <v>8</v>
      </c>
      <c r="AK45" s="9" t="s">
        <v>9</v>
      </c>
      <c r="AL45" s="9" t="s">
        <v>10</v>
      </c>
      <c r="BB45" s="4" t="s">
        <v>1</v>
      </c>
      <c r="BC45" s="9" t="s">
        <v>8</v>
      </c>
      <c r="BD45" s="9" t="s">
        <v>9</v>
      </c>
      <c r="BE45" s="9" t="s">
        <v>10</v>
      </c>
    </row>
    <row r="46" spans="1:66" x14ac:dyDescent="0.2">
      <c r="A46" s="4"/>
      <c r="G46" s="8" t="s">
        <v>12</v>
      </c>
      <c r="H46" s="30">
        <v>20000</v>
      </c>
      <c r="I46" s="3">
        <v>21120.81</v>
      </c>
      <c r="J46" s="30">
        <v>20000</v>
      </c>
      <c r="K46" s="30"/>
      <c r="L46" s="30"/>
      <c r="T46" s="1"/>
      <c r="U46" s="8" t="s">
        <v>12</v>
      </c>
      <c r="V46" s="15">
        <v>0</v>
      </c>
      <c r="W46" s="15">
        <v>0</v>
      </c>
      <c r="X46" s="15">
        <v>0</v>
      </c>
      <c r="AG46" s="3"/>
      <c r="AI46" s="8" t="s">
        <v>12</v>
      </c>
      <c r="AJ46" s="30" cm="1">
        <f t="array" ref="AJ46:AL47">(C5*H46:J47+B10:B11)*V46:X47</f>
        <v>0</v>
      </c>
      <c r="AK46">
        <v>0</v>
      </c>
      <c r="AL46">
        <v>0</v>
      </c>
      <c r="BB46" s="8" t="s">
        <v>12</v>
      </c>
      <c r="BC46" s="30" cm="1">
        <f t="array" ref="BC46:BE47">H46:J47*(V46:X47/B7)*24</f>
        <v>0</v>
      </c>
      <c r="BD46">
        <v>0</v>
      </c>
      <c r="BE46">
        <v>0</v>
      </c>
    </row>
    <row r="47" spans="1:66" x14ac:dyDescent="0.2">
      <c r="B47" s="3"/>
      <c r="C47" s="3"/>
      <c r="D47" s="3"/>
      <c r="G47" s="8" t="s">
        <v>14</v>
      </c>
      <c r="H47" s="30">
        <v>20000</v>
      </c>
      <c r="I47">
        <v>21791.15</v>
      </c>
      <c r="J47" s="30">
        <v>20000</v>
      </c>
      <c r="U47" s="8" t="s">
        <v>14</v>
      </c>
      <c r="V47" s="15">
        <v>0</v>
      </c>
      <c r="W47" s="15">
        <v>0</v>
      </c>
      <c r="X47" s="15">
        <v>0</v>
      </c>
      <c r="AC47" s="3"/>
      <c r="AD47" s="3"/>
      <c r="AE47" s="3"/>
      <c r="AF47" s="3"/>
      <c r="AG47" s="3"/>
      <c r="AI47" s="8" t="s">
        <v>14</v>
      </c>
      <c r="AJ47">
        <v>0</v>
      </c>
      <c r="AK47">
        <v>0</v>
      </c>
      <c r="AL47">
        <v>0</v>
      </c>
      <c r="BB47" s="8" t="s">
        <v>14</v>
      </c>
      <c r="BC47">
        <v>0</v>
      </c>
      <c r="BD47">
        <v>0</v>
      </c>
      <c r="BE47">
        <v>0</v>
      </c>
    </row>
    <row r="48" spans="1:66" x14ac:dyDescent="0.2">
      <c r="B48" s="3"/>
      <c r="C48" s="3"/>
      <c r="D48" s="3"/>
      <c r="U48" s="2"/>
      <c r="V48" s="2"/>
      <c r="W48" s="2"/>
      <c r="X48" s="2"/>
      <c r="Y48" s="2"/>
      <c r="Z48" s="2"/>
      <c r="AC48" s="2"/>
      <c r="AD48" s="2"/>
      <c r="AE48" s="2"/>
      <c r="AF48" s="2"/>
      <c r="AG48" s="2"/>
      <c r="AI48" s="2"/>
      <c r="BB48" s="2"/>
    </row>
    <row r="49" spans="2:66" x14ac:dyDescent="0.2">
      <c r="G49" s="1" t="s">
        <v>1</v>
      </c>
      <c r="H49" s="10" t="s">
        <v>19</v>
      </c>
      <c r="I49" s="10" t="s">
        <v>20</v>
      </c>
      <c r="J49" s="10" t="s">
        <v>21</v>
      </c>
      <c r="K49" s="10" t="s">
        <v>22</v>
      </c>
      <c r="M49" s="30"/>
      <c r="U49" s="1" t="s">
        <v>1</v>
      </c>
      <c r="V49" s="10" t="s">
        <v>19</v>
      </c>
      <c r="W49" s="10" t="s">
        <v>20</v>
      </c>
      <c r="X49" s="10" t="s">
        <v>21</v>
      </c>
      <c r="Y49" s="10" t="s">
        <v>22</v>
      </c>
      <c r="AI49" s="1" t="s">
        <v>1</v>
      </c>
      <c r="AJ49" s="10" t="s">
        <v>19</v>
      </c>
      <c r="AK49" s="10" t="s">
        <v>20</v>
      </c>
      <c r="AL49" s="10" t="s">
        <v>21</v>
      </c>
      <c r="AM49" s="10" t="s">
        <v>22</v>
      </c>
      <c r="AW49" s="4" t="s">
        <v>41</v>
      </c>
      <c r="BB49" s="1" t="s">
        <v>1</v>
      </c>
      <c r="BC49" s="10" t="s">
        <v>19</v>
      </c>
      <c r="BD49" s="10" t="s">
        <v>20</v>
      </c>
      <c r="BE49" s="10" t="s">
        <v>21</v>
      </c>
      <c r="BF49" s="10" t="s">
        <v>22</v>
      </c>
    </row>
    <row r="50" spans="2:66" x14ac:dyDescent="0.2">
      <c r="G50" s="9" t="s">
        <v>8</v>
      </c>
      <c r="H50" s="30">
        <v>20000</v>
      </c>
      <c r="I50" s="30">
        <v>20000</v>
      </c>
      <c r="J50" s="30">
        <v>20000</v>
      </c>
      <c r="K50" s="30">
        <v>20000</v>
      </c>
      <c r="U50" s="9" t="s">
        <v>8</v>
      </c>
      <c r="V50" s="15">
        <v>0</v>
      </c>
      <c r="W50" s="15">
        <v>0</v>
      </c>
      <c r="X50" s="15">
        <v>0</v>
      </c>
      <c r="Y50" s="15">
        <v>0</v>
      </c>
      <c r="AI50" s="9" t="s">
        <v>8</v>
      </c>
      <c r="AJ50" s="30" cm="1">
        <f t="array" ref="AJ50:AM52">(C5*H50:K52+B15:B17)*V50:Y52</f>
        <v>0</v>
      </c>
      <c r="AK50">
        <v>0</v>
      </c>
      <c r="AL50">
        <v>0</v>
      </c>
      <c r="AM50">
        <v>0</v>
      </c>
      <c r="AW50" s="33">
        <f>SUM(_xlfn.ANCHORARRAY(AJ4),_xlfn.ANCHORARRAY(AJ8),_xlfn.ANCHORARRAY(AJ18),_xlfn.ANCHORARRAY(AJ29),_xlfn.ANCHORARRAY(AJ39),_xlfn.ANCHORARRAY(AJ50),_xlfn.ANCHORARRAY(AJ46),_xlfn.ANCHORARRAY(AJ60))</f>
        <v>71554535.713182315</v>
      </c>
      <c r="BB50" s="9" t="s">
        <v>8</v>
      </c>
      <c r="BC50" s="30" cm="1">
        <f t="array" ref="BC50:BF57">H50:K57*(V50:Y57/B7)*24</f>
        <v>0</v>
      </c>
      <c r="BD50">
        <v>0</v>
      </c>
      <c r="BE50">
        <v>0</v>
      </c>
      <c r="BF50">
        <v>0</v>
      </c>
    </row>
    <row r="51" spans="2:66" x14ac:dyDescent="0.2">
      <c r="B51" s="3"/>
      <c r="C51" s="3"/>
      <c r="D51" s="3"/>
      <c r="E51" s="3"/>
      <c r="G51" s="9" t="s">
        <v>9</v>
      </c>
      <c r="H51" s="30">
        <v>20000</v>
      </c>
      <c r="I51" s="30">
        <v>20000</v>
      </c>
      <c r="J51">
        <v>626.22</v>
      </c>
      <c r="K51">
        <v>6939.35</v>
      </c>
      <c r="U51" s="9" t="s">
        <v>9</v>
      </c>
      <c r="V51" s="15">
        <v>0</v>
      </c>
      <c r="W51" s="15">
        <v>0</v>
      </c>
      <c r="X51" s="15">
        <v>0</v>
      </c>
      <c r="Y51" s="15">
        <v>0</v>
      </c>
      <c r="AI51" s="9" t="s">
        <v>9</v>
      </c>
      <c r="AJ51">
        <v>0</v>
      </c>
      <c r="AK51">
        <v>0</v>
      </c>
      <c r="AL51">
        <v>0</v>
      </c>
      <c r="AM51">
        <v>0</v>
      </c>
      <c r="BB51" s="9" t="s">
        <v>9</v>
      </c>
      <c r="BC51">
        <v>0</v>
      </c>
      <c r="BD51">
        <v>0</v>
      </c>
      <c r="BE51">
        <v>0</v>
      </c>
      <c r="BF51">
        <v>0</v>
      </c>
    </row>
    <row r="52" spans="2:66" x14ac:dyDescent="0.2">
      <c r="B52" s="3"/>
      <c r="C52" s="3"/>
      <c r="D52" s="3"/>
      <c r="E52" s="3"/>
      <c r="G52" s="9" t="s">
        <v>10</v>
      </c>
      <c r="H52" s="30">
        <v>20000</v>
      </c>
      <c r="I52" s="30">
        <v>20000</v>
      </c>
      <c r="J52" s="30">
        <v>20000</v>
      </c>
      <c r="K52" s="30">
        <v>20000</v>
      </c>
      <c r="U52" s="9" t="s">
        <v>10</v>
      </c>
      <c r="V52" s="15">
        <v>0</v>
      </c>
      <c r="W52" s="15">
        <v>0</v>
      </c>
      <c r="X52" s="15">
        <v>0</v>
      </c>
      <c r="Y52" s="15">
        <v>0</v>
      </c>
      <c r="AI52" s="9" t="s">
        <v>10</v>
      </c>
      <c r="AJ52">
        <v>0</v>
      </c>
      <c r="AK52">
        <v>0</v>
      </c>
      <c r="AL52">
        <v>0</v>
      </c>
      <c r="AM52">
        <v>0</v>
      </c>
      <c r="AW52" t="s">
        <v>68</v>
      </c>
      <c r="BB52" s="9" t="s">
        <v>10</v>
      </c>
      <c r="BC52">
        <v>0</v>
      </c>
      <c r="BD52">
        <v>0</v>
      </c>
      <c r="BE52">
        <v>0</v>
      </c>
      <c r="BF52">
        <v>0</v>
      </c>
    </row>
    <row r="53" spans="2:66" x14ac:dyDescent="0.2">
      <c r="B53" s="3"/>
      <c r="C53" s="3"/>
      <c r="D53" s="3"/>
      <c r="E53" s="3"/>
      <c r="H53" s="30"/>
      <c r="I53" s="30"/>
      <c r="J53" s="30"/>
      <c r="K53" s="30"/>
      <c r="AJ53" s="30"/>
      <c r="AW53" t="s">
        <v>69</v>
      </c>
      <c r="AX53" cm="1">
        <f t="array" ref="AX53">SUM(H4:J5*V4:X5,H8:K15*V8:Y15,H18:S21*V18:AG21)*B6*0.952</f>
        <v>4700685637.1552143</v>
      </c>
      <c r="BC53" s="30">
        <v>0</v>
      </c>
      <c r="BD53">
        <v>0</v>
      </c>
      <c r="BE53">
        <v>0</v>
      </c>
      <c r="BF53">
        <v>0</v>
      </c>
    </row>
    <row r="54" spans="2:66" x14ac:dyDescent="0.2">
      <c r="H54" s="30"/>
      <c r="I54" s="30"/>
      <c r="J54" s="30"/>
      <c r="K54" s="30"/>
      <c r="AG54" s="3"/>
      <c r="AW54" t="s">
        <v>70</v>
      </c>
      <c r="AX54" s="30" cm="1">
        <f t="array" ref="AX54">SUM(H25:J26*V25:X26,H29:K36*V29:Y36,H39:S42*V39:AG42)*B6*0.073</f>
        <v>107084110.5432765</v>
      </c>
      <c r="BC54">
        <v>0</v>
      </c>
      <c r="BD54">
        <v>0</v>
      </c>
      <c r="BE54">
        <v>0</v>
      </c>
      <c r="BF54">
        <v>0</v>
      </c>
    </row>
    <row r="55" spans="2:66" x14ac:dyDescent="0.2">
      <c r="H55" s="30"/>
      <c r="I55" s="30"/>
      <c r="J55" s="3"/>
      <c r="K55" s="3"/>
      <c r="AG55" s="3"/>
      <c r="AW55" t="s">
        <v>71</v>
      </c>
      <c r="AX55" s="30" cm="1">
        <f t="array" ref="AX55">SUM(H46:J47*V46:X47,H50:K57*V50:Y57,H60:S63*V60:AG63)*B6*0.024</f>
        <v>0</v>
      </c>
      <c r="BC55">
        <v>0</v>
      </c>
      <c r="BD55">
        <v>0</v>
      </c>
      <c r="BE55">
        <v>0</v>
      </c>
      <c r="BF55">
        <v>0</v>
      </c>
    </row>
    <row r="56" spans="2:66" x14ac:dyDescent="0.2">
      <c r="F56" s="3"/>
      <c r="H56" s="30"/>
      <c r="I56" s="30"/>
      <c r="J56" s="3"/>
      <c r="K56" s="3"/>
      <c r="AW56" s="1"/>
      <c r="BC56">
        <v>0</v>
      </c>
      <c r="BD56">
        <v>0</v>
      </c>
      <c r="BE56">
        <v>0</v>
      </c>
      <c r="BF56">
        <v>0</v>
      </c>
    </row>
    <row r="57" spans="2:66" x14ac:dyDescent="0.2">
      <c r="F57" s="3"/>
      <c r="H57" s="30"/>
      <c r="I57" s="30"/>
      <c r="J57" s="30"/>
      <c r="K57" s="30"/>
      <c r="BC57">
        <v>0</v>
      </c>
      <c r="BD57">
        <v>0</v>
      </c>
      <c r="BE57">
        <v>0</v>
      </c>
      <c r="BF57">
        <v>0</v>
      </c>
    </row>
    <row r="58" spans="2:66" x14ac:dyDescent="0.2">
      <c r="F58" s="3"/>
      <c r="AW58" s="1"/>
    </row>
    <row r="59" spans="2:66" x14ac:dyDescent="0.2">
      <c r="B59" s="3"/>
      <c r="C59" s="3"/>
      <c r="D59" s="3"/>
      <c r="E59" s="3"/>
      <c r="F59" s="3"/>
      <c r="G59" s="1" t="s">
        <v>1</v>
      </c>
      <c r="H59" s="11" t="s">
        <v>25</v>
      </c>
      <c r="I59" s="11" t="s">
        <v>26</v>
      </c>
      <c r="J59" s="11" t="s">
        <v>27</v>
      </c>
      <c r="K59" s="11" t="s">
        <v>28</v>
      </c>
      <c r="L59" s="11" t="s">
        <v>29</v>
      </c>
      <c r="M59" s="11" t="s">
        <v>30</v>
      </c>
      <c r="N59" s="11" t="s">
        <v>31</v>
      </c>
      <c r="O59" s="11" t="s">
        <v>32</v>
      </c>
      <c r="P59" s="11" t="s">
        <v>33</v>
      </c>
      <c r="Q59" s="11" t="s">
        <v>34</v>
      </c>
      <c r="R59" s="11" t="s">
        <v>35</v>
      </c>
      <c r="S59" s="11" t="s">
        <v>36</v>
      </c>
      <c r="U59" s="1" t="s">
        <v>1</v>
      </c>
      <c r="V59" s="11" t="s">
        <v>25</v>
      </c>
      <c r="W59" s="11" t="s">
        <v>26</v>
      </c>
      <c r="X59" s="11" t="s">
        <v>27</v>
      </c>
      <c r="Y59" s="11" t="s">
        <v>28</v>
      </c>
      <c r="Z59" s="11" t="s">
        <v>29</v>
      </c>
      <c r="AA59" s="11" t="s">
        <v>30</v>
      </c>
      <c r="AB59" s="11" t="s">
        <v>31</v>
      </c>
      <c r="AC59" s="11" t="s">
        <v>32</v>
      </c>
      <c r="AD59" s="11" t="s">
        <v>33</v>
      </c>
      <c r="AE59" s="11" t="s">
        <v>34</v>
      </c>
      <c r="AF59" s="11" t="s">
        <v>35</v>
      </c>
      <c r="AG59" s="11" t="s">
        <v>36</v>
      </c>
      <c r="AI59" s="1" t="s">
        <v>1</v>
      </c>
      <c r="AJ59" s="11" t="s">
        <v>25</v>
      </c>
      <c r="AK59" s="11" t="s">
        <v>26</v>
      </c>
      <c r="AL59" s="11" t="s">
        <v>27</v>
      </c>
      <c r="AM59" s="11" t="s">
        <v>28</v>
      </c>
      <c r="AN59" s="11" t="s">
        <v>29</v>
      </c>
      <c r="AO59" s="11" t="s">
        <v>30</v>
      </c>
      <c r="AP59" s="11" t="s">
        <v>31</v>
      </c>
      <c r="AQ59" s="11" t="s">
        <v>32</v>
      </c>
      <c r="AR59" s="11" t="s">
        <v>33</v>
      </c>
      <c r="AS59" s="11" t="s">
        <v>34</v>
      </c>
      <c r="AT59" s="11" t="s">
        <v>35</v>
      </c>
      <c r="AU59" s="11" t="s">
        <v>36</v>
      </c>
      <c r="BB59" s="1" t="s">
        <v>1</v>
      </c>
      <c r="BC59" s="11" t="s">
        <v>25</v>
      </c>
      <c r="BD59" s="11" t="s">
        <v>26</v>
      </c>
      <c r="BE59" s="11" t="s">
        <v>27</v>
      </c>
      <c r="BF59" s="11" t="s">
        <v>28</v>
      </c>
      <c r="BG59" s="11" t="s">
        <v>29</v>
      </c>
      <c r="BH59" s="11" t="s">
        <v>30</v>
      </c>
      <c r="BI59" s="11" t="s">
        <v>31</v>
      </c>
      <c r="BJ59" s="11" t="s">
        <v>32</v>
      </c>
      <c r="BK59" s="11" t="s">
        <v>33</v>
      </c>
      <c r="BL59" s="11" t="s">
        <v>34</v>
      </c>
      <c r="BM59" s="11" t="s">
        <v>35</v>
      </c>
      <c r="BN59" s="11" t="s">
        <v>36</v>
      </c>
    </row>
    <row r="60" spans="2:66" x14ac:dyDescent="0.2">
      <c r="G60" s="10" t="s">
        <v>19</v>
      </c>
      <c r="H60" s="30">
        <v>20000</v>
      </c>
      <c r="I60" s="30">
        <v>20000</v>
      </c>
      <c r="J60" s="30">
        <v>20000</v>
      </c>
      <c r="K60" s="30">
        <v>20000</v>
      </c>
      <c r="L60" s="30">
        <v>20000</v>
      </c>
      <c r="M60" s="30">
        <v>20000</v>
      </c>
      <c r="N60" s="30">
        <v>20000</v>
      </c>
      <c r="O60" s="30">
        <v>20000</v>
      </c>
      <c r="P60" s="30">
        <v>20000</v>
      </c>
      <c r="Q60" s="30">
        <v>20000</v>
      </c>
      <c r="R60" s="30">
        <v>20000</v>
      </c>
      <c r="S60" s="30">
        <v>20000</v>
      </c>
      <c r="U60" s="10" t="s">
        <v>19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I60" s="10" t="s">
        <v>19</v>
      </c>
      <c r="AJ60" s="30" cm="1">
        <f t="array" ref="AJ60:AU63">(C5*H60:S63+B21:B24)*V60:AG63</f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BB60" s="10" t="s">
        <v>19</v>
      </c>
      <c r="BC60" s="30" cm="1">
        <f t="array" ref="BC60:BN63">H60:S63*(V60:AG63/B7)*24</f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2:66" x14ac:dyDescent="0.2">
      <c r="B61" s="3"/>
      <c r="C61" s="3"/>
      <c r="D61" s="3"/>
      <c r="E61" s="3"/>
      <c r="F61" s="3"/>
      <c r="G61" s="10" t="s">
        <v>20</v>
      </c>
      <c r="H61" s="30">
        <v>20000</v>
      </c>
      <c r="I61" s="30">
        <v>20000</v>
      </c>
      <c r="J61" s="30">
        <v>20000</v>
      </c>
      <c r="K61" s="30">
        <v>20000</v>
      </c>
      <c r="L61" s="30">
        <v>20000</v>
      </c>
      <c r="M61" s="30">
        <v>20000</v>
      </c>
      <c r="N61" s="30">
        <v>20000</v>
      </c>
      <c r="O61" s="30">
        <v>20000</v>
      </c>
      <c r="P61" s="30">
        <v>20000</v>
      </c>
      <c r="Q61" s="30">
        <v>20000</v>
      </c>
      <c r="R61" s="30">
        <v>20000</v>
      </c>
      <c r="S61" s="30">
        <v>20000</v>
      </c>
      <c r="U61" s="10" t="s">
        <v>20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I61" s="10" t="s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BB61" s="10" t="s">
        <v>20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2:66" x14ac:dyDescent="0.2">
      <c r="B62" s="3"/>
      <c r="C62" s="3"/>
      <c r="D62" s="3"/>
      <c r="E62" s="3"/>
      <c r="F62" s="3"/>
      <c r="G62" s="10" t="s">
        <v>21</v>
      </c>
      <c r="H62" s="30">
        <v>20000</v>
      </c>
      <c r="I62">
        <v>7382.62</v>
      </c>
      <c r="J62">
        <v>7252.73</v>
      </c>
      <c r="K62" s="30">
        <v>20000</v>
      </c>
      <c r="L62" s="30">
        <v>20000</v>
      </c>
      <c r="M62" s="30">
        <v>20000</v>
      </c>
      <c r="N62" s="30">
        <v>20000</v>
      </c>
      <c r="O62">
        <v>1803.76</v>
      </c>
      <c r="P62" s="30">
        <v>20000</v>
      </c>
      <c r="Q62" s="30">
        <v>20000</v>
      </c>
      <c r="R62">
        <v>3951.36</v>
      </c>
      <c r="S62" s="30">
        <v>20000</v>
      </c>
      <c r="U62" s="10" t="s">
        <v>21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I62" s="10" t="s">
        <v>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BB62" s="10" t="s">
        <v>21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2:66" x14ac:dyDescent="0.2">
      <c r="B63" s="3"/>
      <c r="C63" s="3"/>
      <c r="D63" s="3"/>
      <c r="E63" s="3"/>
      <c r="F63" s="3"/>
      <c r="G63" s="10" t="s">
        <v>22</v>
      </c>
      <c r="H63" s="30">
        <v>20000</v>
      </c>
      <c r="I63">
        <v>430.2</v>
      </c>
      <c r="J63" s="30">
        <v>20000</v>
      </c>
      <c r="K63" s="30">
        <v>20000</v>
      </c>
      <c r="L63" s="30">
        <v>20000</v>
      </c>
      <c r="M63" s="30">
        <v>20000</v>
      </c>
      <c r="N63" s="30">
        <v>20000</v>
      </c>
      <c r="O63">
        <v>5892.31</v>
      </c>
      <c r="P63" s="30">
        <v>20000</v>
      </c>
      <c r="Q63" s="30">
        <v>20000</v>
      </c>
      <c r="R63">
        <v>3425.34</v>
      </c>
      <c r="S63" s="30">
        <v>20000</v>
      </c>
      <c r="U63" s="10" t="s">
        <v>22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I63" s="10" t="s">
        <v>22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BB63" s="10" t="s">
        <v>22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2:66" x14ac:dyDescent="0.2">
      <c r="B64" s="3"/>
      <c r="C64" s="3"/>
      <c r="D64" s="3"/>
      <c r="E64" s="3"/>
      <c r="F64" s="3"/>
    </row>
    <row r="65" spans="7:56" x14ac:dyDescent="0.2">
      <c r="G65" s="3"/>
      <c r="H65" s="3"/>
      <c r="I65" s="3"/>
      <c r="J65" s="3"/>
      <c r="K65" s="3"/>
      <c r="L65" s="3"/>
      <c r="M65" s="3"/>
      <c r="AI65" s="4"/>
      <c r="BB65" s="1" t="s">
        <v>72</v>
      </c>
    </row>
    <row r="66" spans="7:56" x14ac:dyDescent="0.2">
      <c r="G66" s="3"/>
      <c r="H66" s="3"/>
      <c r="I66" s="3"/>
      <c r="J66" s="30"/>
      <c r="K66" s="3"/>
      <c r="L66" s="3"/>
      <c r="M66" s="3"/>
      <c r="AI66" s="3"/>
      <c r="BB66" s="30">
        <f>SUM(_xlfn.ANCHORARRAY(BC4),_xlfn.ANCHORARRAY(BC8),_xlfn.ANCHORARRAY(BC18),BC25:BE26,_xlfn.ANCHORARRAY(BC29),_xlfn.ANCHORARRAY(BC39),_xlfn.ANCHORARRAY(BC46),_xlfn.ANCHORARRAY(BC50),_xlfn.ANCHORARRAY(BC60))</f>
        <v>4807769747.6984901</v>
      </c>
      <c r="BC66" t="s">
        <v>44</v>
      </c>
      <c r="BD66" s="30">
        <v>5000000000</v>
      </c>
    </row>
    <row r="67" spans="7:56" x14ac:dyDescent="0.2">
      <c r="G67" s="3"/>
      <c r="H67" s="3"/>
      <c r="I67" s="3"/>
      <c r="J67" s="3"/>
      <c r="K67" s="3"/>
      <c r="L67" s="3"/>
      <c r="M67" s="3"/>
    </row>
    <row r="70" spans="7:56" x14ac:dyDescent="0.2">
      <c r="G70" s="1"/>
      <c r="U70" s="4"/>
    </row>
    <row r="71" spans="7:56" x14ac:dyDescent="0.2"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V71" s="30"/>
    </row>
    <row r="72" spans="7:56" x14ac:dyDescent="0.2"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</row>
    <row r="73" spans="7:56" x14ac:dyDescent="0.2">
      <c r="H73" s="30"/>
      <c r="K73" s="30"/>
      <c r="L73" s="30"/>
      <c r="M73" s="30"/>
      <c r="N73" s="30"/>
      <c r="P73" s="30"/>
      <c r="Q73" s="30"/>
      <c r="S73" s="30"/>
    </row>
    <row r="74" spans="7:56" x14ac:dyDescent="0.2">
      <c r="H74" s="30"/>
      <c r="J74" s="30"/>
      <c r="K74" s="30"/>
      <c r="L74" s="30"/>
      <c r="M74" s="30"/>
      <c r="N74" s="30"/>
      <c r="P74" s="30"/>
      <c r="Q74" s="30"/>
      <c r="S74" s="30"/>
    </row>
    <row r="75" spans="7:56" x14ac:dyDescent="0.2"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86" spans="21:21" x14ac:dyDescent="0.2">
      <c r="U86" s="4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F7F4-89C5-6142-96C7-CBE361F659CC}">
  <dimension ref="A1:XFD1048575"/>
  <sheetViews>
    <sheetView topLeftCell="AN29" workbookViewId="0">
      <selection activeCell="P73" sqref="P73"/>
    </sheetView>
  </sheetViews>
  <sheetFormatPr baseColWidth="10" defaultColWidth="11" defaultRowHeight="16" x14ac:dyDescent="0.2"/>
  <cols>
    <col min="1" max="1" width="26.33203125" customWidth="1"/>
    <col min="2" max="2" width="14.1640625" customWidth="1"/>
    <col min="5" max="5" width="14.1640625" customWidth="1"/>
    <col min="29" max="29" width="14.33203125" customWidth="1"/>
    <col min="30" max="30" width="13.6640625" customWidth="1"/>
    <col min="31" max="31" width="14.1640625" customWidth="1"/>
    <col min="49" max="49" width="23.1640625" customWidth="1"/>
    <col min="50" max="50" width="14.83203125" customWidth="1"/>
    <col min="52" max="52" width="11.1640625" bestFit="1" customWidth="1"/>
    <col min="54" max="54" width="19.83203125" customWidth="1"/>
    <col min="55" max="55" width="11.5" bestFit="1" customWidth="1"/>
  </cols>
  <sheetData>
    <row r="1" spans="1:58" x14ac:dyDescent="0.2">
      <c r="A1" s="4"/>
      <c r="B1" s="4" t="s">
        <v>0</v>
      </c>
      <c r="C1" s="4" t="s">
        <v>1</v>
      </c>
      <c r="D1" s="4" t="s">
        <v>63</v>
      </c>
      <c r="E1" s="3"/>
      <c r="F1" s="3"/>
      <c r="G1" s="3"/>
    </row>
    <row r="2" spans="1:58" x14ac:dyDescent="0.2">
      <c r="A2" s="3" t="s">
        <v>4</v>
      </c>
      <c r="B2" s="3">
        <v>952</v>
      </c>
      <c r="C2" s="3">
        <v>24</v>
      </c>
      <c r="D2" s="3">
        <v>73</v>
      </c>
      <c r="E2" s="3"/>
      <c r="F2" s="3"/>
      <c r="G2" s="1" t="s">
        <v>45</v>
      </c>
      <c r="U2" s="1" t="s">
        <v>7</v>
      </c>
      <c r="AB2" s="1"/>
      <c r="AI2" s="1" t="s">
        <v>39</v>
      </c>
      <c r="AW2" s="1" t="s">
        <v>42</v>
      </c>
      <c r="BA2" s="3"/>
      <c r="BB2" s="1" t="s">
        <v>64</v>
      </c>
    </row>
    <row r="3" spans="1:58" x14ac:dyDescent="0.2">
      <c r="A3" s="3" t="s">
        <v>65</v>
      </c>
      <c r="B3" s="3">
        <v>1.14E-2</v>
      </c>
      <c r="C3" s="3">
        <v>1.6999999999999999E-3</v>
      </c>
      <c r="D3">
        <v>6.4999999999999997E-3</v>
      </c>
      <c r="E3" s="3"/>
      <c r="F3" s="3"/>
      <c r="G3" s="4" t="s">
        <v>0</v>
      </c>
      <c r="H3" s="9" t="s">
        <v>8</v>
      </c>
      <c r="I3" s="9" t="s">
        <v>9</v>
      </c>
      <c r="J3" s="9" t="s">
        <v>10</v>
      </c>
      <c r="U3" s="4" t="s">
        <v>0</v>
      </c>
      <c r="V3" s="9" t="s">
        <v>8</v>
      </c>
      <c r="W3" s="9" t="s">
        <v>9</v>
      </c>
      <c r="X3" s="9" t="s">
        <v>10</v>
      </c>
      <c r="AB3" s="1"/>
      <c r="AI3" s="4" t="s">
        <v>0</v>
      </c>
      <c r="AJ3" s="9" t="s">
        <v>8</v>
      </c>
      <c r="AK3" s="9" t="s">
        <v>9</v>
      </c>
      <c r="AL3" s="9" t="s">
        <v>10</v>
      </c>
      <c r="AW3" s="1" t="s">
        <v>43</v>
      </c>
      <c r="BA3" s="3"/>
      <c r="BB3" s="4" t="s">
        <v>0</v>
      </c>
      <c r="BC3" s="9" t="s">
        <v>8</v>
      </c>
      <c r="BD3" s="9" t="s">
        <v>9</v>
      </c>
      <c r="BE3" s="9" t="s">
        <v>10</v>
      </c>
    </row>
    <row r="4" spans="1:58" x14ac:dyDescent="0.2">
      <c r="A4" s="3" t="s">
        <v>66</v>
      </c>
      <c r="B4" s="3">
        <v>6.3000000000000003E-4</v>
      </c>
      <c r="C4" s="3">
        <v>5.21E-2</v>
      </c>
      <c r="D4" s="3">
        <v>2.3999999999999998E-3</v>
      </c>
      <c r="E4" s="3"/>
      <c r="F4" s="3"/>
      <c r="G4" s="8" t="s">
        <v>12</v>
      </c>
      <c r="H4" s="3">
        <v>9000.7708299999995</v>
      </c>
      <c r="I4" s="3">
        <v>8561.6520600000003</v>
      </c>
      <c r="J4" s="3">
        <v>9815.4661699999997</v>
      </c>
      <c r="U4" s="8" t="s">
        <v>12</v>
      </c>
      <c r="V4" s="15">
        <v>0</v>
      </c>
      <c r="W4" s="15">
        <v>0</v>
      </c>
      <c r="X4" s="15">
        <v>0</v>
      </c>
      <c r="AG4" s="3"/>
      <c r="AH4" s="3"/>
      <c r="AI4" s="8" t="s">
        <v>12</v>
      </c>
      <c r="AJ4" cm="1">
        <f t="array" ref="AJ4:AL5">(B5*H4:J5+B10:B11)*V4:X5</f>
        <v>0</v>
      </c>
      <c r="AK4">
        <v>0</v>
      </c>
      <c r="AL4">
        <v>0</v>
      </c>
      <c r="AW4">
        <f xml:space="preserve"> SUM(V8:V15,V29:V36,V50:V57)</f>
        <v>24000</v>
      </c>
      <c r="AX4" t="s">
        <v>44</v>
      </c>
      <c r="AY4" s="3">
        <v>45000</v>
      </c>
      <c r="AZ4" s="3" t="s">
        <v>19</v>
      </c>
      <c r="BA4" s="3"/>
      <c r="BB4" s="8" t="s">
        <v>12</v>
      </c>
      <c r="BC4" cm="1">
        <f t="array" ref="BC4:BE5">H4:J5*(V4:X5 / B7)*952</f>
        <v>0</v>
      </c>
      <c r="BD4">
        <v>0</v>
      </c>
      <c r="BE4">
        <v>0</v>
      </c>
    </row>
    <row r="5" spans="1:58" x14ac:dyDescent="0.2">
      <c r="A5" s="4" t="s">
        <v>67</v>
      </c>
      <c r="B5" s="3" cm="1">
        <f t="array" ref="B5:D5">B3:D3*B6+B4:D4</f>
        <v>3.0611999999999997E-2</v>
      </c>
      <c r="C5" s="3">
        <v>5.6570999999999996E-2</v>
      </c>
      <c r="D5" s="3">
        <v>1.9494999999999998E-2</v>
      </c>
      <c r="E5" s="3"/>
      <c r="F5" s="3"/>
      <c r="G5" s="8" t="s">
        <v>14</v>
      </c>
      <c r="H5" s="3">
        <v>8471.3719099999998</v>
      </c>
      <c r="I5" s="3">
        <v>7996.1371200000003</v>
      </c>
      <c r="J5" s="3">
        <v>9243.1630600000008</v>
      </c>
      <c r="U5" s="8" t="s">
        <v>14</v>
      </c>
      <c r="V5" s="15">
        <v>0</v>
      </c>
      <c r="W5" s="15">
        <v>79500</v>
      </c>
      <c r="X5" s="15">
        <v>0</v>
      </c>
      <c r="AC5" s="3"/>
      <c r="AD5" s="3"/>
      <c r="AE5" s="3"/>
      <c r="AF5" s="3"/>
      <c r="AG5" s="3"/>
      <c r="AI5" s="8" t="s">
        <v>14</v>
      </c>
      <c r="AJ5">
        <v>0</v>
      </c>
      <c r="AK5">
        <v>19731990.163926478</v>
      </c>
      <c r="AL5">
        <v>0</v>
      </c>
      <c r="AW5">
        <f>SUM(W8:W15,W29:W36,W50:W57)</f>
        <v>55500</v>
      </c>
      <c r="AX5" t="s">
        <v>44</v>
      </c>
      <c r="AY5" s="3">
        <v>150000</v>
      </c>
      <c r="AZ5" s="3" t="s">
        <v>20</v>
      </c>
      <c r="BB5" s="8" t="s">
        <v>14</v>
      </c>
      <c r="BC5">
        <v>0</v>
      </c>
      <c r="BD5">
        <v>1591622457.9079103</v>
      </c>
      <c r="BE5">
        <v>0</v>
      </c>
    </row>
    <row r="6" spans="1:58" x14ac:dyDescent="0.2">
      <c r="A6" s="3" t="s">
        <v>11</v>
      </c>
      <c r="B6" s="3">
        <v>2.63</v>
      </c>
      <c r="C6" s="3"/>
      <c r="D6" s="3"/>
      <c r="E6" s="3"/>
      <c r="F6" s="3"/>
      <c r="U6" s="2"/>
      <c r="V6" s="2"/>
      <c r="W6" s="2"/>
      <c r="X6" s="2"/>
      <c r="Y6" s="2"/>
      <c r="Z6" s="2"/>
      <c r="AC6" s="2"/>
      <c r="AD6" s="2"/>
      <c r="AE6" s="2"/>
      <c r="AF6" s="2"/>
      <c r="AG6" s="2"/>
      <c r="AH6" s="2"/>
      <c r="AI6" s="2"/>
      <c r="AV6" s="2"/>
      <c r="AW6">
        <f>SUM(X8:X15,X29:X36,X50:X57)</f>
        <v>60000</v>
      </c>
      <c r="AX6" t="s">
        <v>44</v>
      </c>
      <c r="AY6" s="3">
        <v>75000</v>
      </c>
      <c r="AZ6" s="3" t="s">
        <v>21</v>
      </c>
      <c r="BB6" s="2"/>
    </row>
    <row r="7" spans="1:58" x14ac:dyDescent="0.2">
      <c r="A7" s="3" t="s">
        <v>178</v>
      </c>
      <c r="B7" s="3">
        <f>1000 / B6</f>
        <v>380.22813688212932</v>
      </c>
      <c r="C7" s="3"/>
      <c r="D7" s="3"/>
      <c r="E7" s="3"/>
      <c r="F7" s="3"/>
      <c r="G7" s="1" t="s">
        <v>0</v>
      </c>
      <c r="H7" s="10" t="s">
        <v>19</v>
      </c>
      <c r="I7" s="10" t="s">
        <v>20</v>
      </c>
      <c r="J7" s="10" t="s">
        <v>21</v>
      </c>
      <c r="K7" s="10" t="s">
        <v>22</v>
      </c>
      <c r="U7" s="1" t="s">
        <v>0</v>
      </c>
      <c r="V7" s="10" t="s">
        <v>19</v>
      </c>
      <c r="W7" s="10" t="s">
        <v>20</v>
      </c>
      <c r="X7" s="10" t="s">
        <v>21</v>
      </c>
      <c r="Y7" s="10" t="s">
        <v>22</v>
      </c>
      <c r="AD7" s="2"/>
      <c r="AE7" s="2"/>
      <c r="AF7" s="2"/>
      <c r="AG7" s="2"/>
      <c r="AI7" s="1" t="s">
        <v>0</v>
      </c>
      <c r="AJ7" s="10" t="s">
        <v>19</v>
      </c>
      <c r="AK7" s="10" t="s">
        <v>20</v>
      </c>
      <c r="AL7" s="10" t="s">
        <v>21</v>
      </c>
      <c r="AM7" s="10" t="s">
        <v>22</v>
      </c>
      <c r="AN7" s="26" t="s">
        <v>58</v>
      </c>
      <c r="AW7">
        <f>SUM(Y8:Y15,Y29:Y36,Y50:Y57)</f>
        <v>95000</v>
      </c>
      <c r="AX7" t="s">
        <v>44</v>
      </c>
      <c r="AY7" s="3">
        <v>100000</v>
      </c>
      <c r="AZ7" s="3" t="s">
        <v>22</v>
      </c>
      <c r="BB7" s="1" t="s">
        <v>0</v>
      </c>
      <c r="BC7" s="10" t="s">
        <v>19</v>
      </c>
      <c r="BD7" s="10" t="s">
        <v>20</v>
      </c>
      <c r="BE7" s="10" t="s">
        <v>21</v>
      </c>
      <c r="BF7" s="10" t="s">
        <v>22</v>
      </c>
    </row>
    <row r="8" spans="1:58" x14ac:dyDescent="0.2">
      <c r="A8" s="5" t="s">
        <v>13</v>
      </c>
      <c r="B8" s="3"/>
      <c r="C8" s="3"/>
      <c r="E8" s="3"/>
      <c r="F8" s="3"/>
      <c r="G8" s="9" t="s">
        <v>8</v>
      </c>
      <c r="H8" s="3">
        <v>220.49319199999999</v>
      </c>
      <c r="I8" s="3">
        <v>1019.75143</v>
      </c>
      <c r="J8" s="3">
        <v>1099.06143</v>
      </c>
      <c r="K8" s="3">
        <v>1263.02225</v>
      </c>
      <c r="U8" s="9" t="s">
        <v>8</v>
      </c>
      <c r="V8" s="15">
        <v>0</v>
      </c>
      <c r="W8" s="15">
        <v>0</v>
      </c>
      <c r="X8" s="15">
        <v>0</v>
      </c>
      <c r="Y8" s="15">
        <v>0</v>
      </c>
      <c r="AI8" s="9" t="s">
        <v>8</v>
      </c>
      <c r="AJ8" cm="1">
        <f t="array" ref="AJ8:AM10">(B5*H8:K10+B15:B17)*V8:Y10</f>
        <v>0</v>
      </c>
      <c r="AK8">
        <v>0</v>
      </c>
      <c r="AL8">
        <v>0</v>
      </c>
      <c r="AM8">
        <v>0</v>
      </c>
      <c r="AN8">
        <v>0</v>
      </c>
      <c r="BB8" s="9" t="s">
        <v>8</v>
      </c>
      <c r="BC8" cm="1">
        <f t="array" ref="BC8:BF15">H8:K15*(V8:Y15/B7)*952</f>
        <v>0</v>
      </c>
      <c r="BD8">
        <v>0</v>
      </c>
      <c r="BE8">
        <v>0</v>
      </c>
      <c r="BF8">
        <v>0</v>
      </c>
    </row>
    <row r="9" spans="1:58" x14ac:dyDescent="0.2">
      <c r="A9" s="6" t="s">
        <v>15</v>
      </c>
      <c r="B9" s="6" t="s">
        <v>16</v>
      </c>
      <c r="C9" s="6" t="s">
        <v>17</v>
      </c>
      <c r="D9" s="3" t="s">
        <v>18</v>
      </c>
      <c r="E9" s="3"/>
      <c r="F9" s="6"/>
      <c r="G9" s="9" t="s">
        <v>9</v>
      </c>
      <c r="H9" s="3">
        <v>519.32400700000005</v>
      </c>
      <c r="I9" s="3">
        <v>1155.2343100000001</v>
      </c>
      <c r="J9" s="3">
        <v>440.47644400000001</v>
      </c>
      <c r="K9" s="3">
        <v>1856.5320200000001</v>
      </c>
      <c r="U9" s="9" t="s">
        <v>9</v>
      </c>
      <c r="V9" s="15">
        <v>0</v>
      </c>
      <c r="W9" s="15">
        <v>0</v>
      </c>
      <c r="X9" s="15">
        <v>0</v>
      </c>
      <c r="Y9" s="15">
        <v>0</v>
      </c>
      <c r="AI9" s="9" t="s">
        <v>9</v>
      </c>
      <c r="AJ9">
        <v>0</v>
      </c>
      <c r="AK9">
        <v>0</v>
      </c>
      <c r="AL9">
        <v>0</v>
      </c>
      <c r="AM9">
        <v>0</v>
      </c>
      <c r="AN9">
        <v>0</v>
      </c>
      <c r="AW9" s="1" t="s">
        <v>46</v>
      </c>
      <c r="BB9" s="9" t="s">
        <v>9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s="3" t="s">
        <v>12</v>
      </c>
      <c r="B10" s="3">
        <v>3.3436923099999998</v>
      </c>
      <c r="C10" s="3">
        <v>25.072134299999998</v>
      </c>
      <c r="D10" s="3">
        <v>121.679919</v>
      </c>
      <c r="E10" s="3"/>
      <c r="F10" s="3"/>
      <c r="G10" s="9" t="s">
        <v>10</v>
      </c>
      <c r="H10" s="3">
        <v>962.97049100000004</v>
      </c>
      <c r="I10" s="3">
        <v>149.866636</v>
      </c>
      <c r="J10" s="3">
        <v>1675.98143</v>
      </c>
      <c r="K10" s="3">
        <v>2091.80017</v>
      </c>
      <c r="U10" s="9" t="s">
        <v>10</v>
      </c>
      <c r="V10" s="15">
        <v>0</v>
      </c>
      <c r="W10" s="15">
        <v>0</v>
      </c>
      <c r="X10" s="15">
        <v>0</v>
      </c>
      <c r="Y10" s="15">
        <v>0</v>
      </c>
      <c r="AB10" s="22" t="s">
        <v>49</v>
      </c>
      <c r="AC10" s="23" t="s">
        <v>50</v>
      </c>
      <c r="AD10" s="23" t="s">
        <v>51</v>
      </c>
      <c r="AE10" s="23" t="s">
        <v>52</v>
      </c>
      <c r="AF10" s="23" t="s">
        <v>2</v>
      </c>
      <c r="AI10" s="9" t="s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W10">
        <f>SUM(V18:V21,V39:V42,V60:V63)</f>
        <v>7000</v>
      </c>
      <c r="AX10" t="s">
        <v>47</v>
      </c>
      <c r="AY10" s="3">
        <v>7000</v>
      </c>
      <c r="AZ10" s="3" t="s">
        <v>25</v>
      </c>
      <c r="BB10" s="9" t="s">
        <v>10</v>
      </c>
      <c r="BC10">
        <v>0</v>
      </c>
      <c r="BD10">
        <v>0</v>
      </c>
      <c r="BE10">
        <v>0</v>
      </c>
      <c r="BF10">
        <v>0</v>
      </c>
    </row>
    <row r="11" spans="1:58" x14ac:dyDescent="0.2">
      <c r="A11" s="3" t="s">
        <v>14</v>
      </c>
      <c r="B11" s="3">
        <v>3.4233846200000002</v>
      </c>
      <c r="C11" s="3">
        <v>31.232343700000001</v>
      </c>
      <c r="D11" s="3">
        <v>121.46910200000001</v>
      </c>
      <c r="E11" s="3"/>
      <c r="F11" s="3"/>
      <c r="G11" s="21" t="s">
        <v>53</v>
      </c>
      <c r="H11">
        <v>98.065420090407898</v>
      </c>
      <c r="I11">
        <v>819.022410170645</v>
      </c>
      <c r="J11">
        <v>988.03782801968202</v>
      </c>
      <c r="K11">
        <v>1530.47935919308</v>
      </c>
      <c r="M11" s="3"/>
      <c r="N11" s="3"/>
      <c r="O11" s="3"/>
      <c r="P11" s="3"/>
      <c r="Q11" s="3"/>
      <c r="R11" s="3"/>
      <c r="S11" s="3"/>
      <c r="T11" s="3"/>
      <c r="U11" s="21" t="s">
        <v>53</v>
      </c>
      <c r="V11" s="15">
        <v>0</v>
      </c>
      <c r="W11" s="15">
        <v>0</v>
      </c>
      <c r="X11" s="15">
        <v>0</v>
      </c>
      <c r="Y11" s="15">
        <v>0</v>
      </c>
      <c r="AA11" s="21" t="s">
        <v>53</v>
      </c>
      <c r="AB11" s="15">
        <v>0</v>
      </c>
      <c r="AC11">
        <v>7000000</v>
      </c>
      <c r="AD11">
        <v>4.7682692309999997</v>
      </c>
      <c r="AE11">
        <v>1500000</v>
      </c>
      <c r="AF11">
        <v>25000</v>
      </c>
      <c r="AI11" s="21" t="s">
        <v>53</v>
      </c>
      <c r="AJ11" cm="1">
        <f t="array" ref="AJ11:AM15">(B5*H11:K15+AD11:AD15)*V11:Y15</f>
        <v>0</v>
      </c>
      <c r="AK11">
        <v>0</v>
      </c>
      <c r="AL11">
        <v>0</v>
      </c>
      <c r="AM11">
        <v>0</v>
      </c>
      <c r="AN11" cm="1">
        <f t="array" ref="AN11:AN15">AB11:AB15*(AE11:AE15+AC11:AC15)</f>
        <v>0</v>
      </c>
      <c r="AW11">
        <f>SUM(W18:W21,W39:W42,W60:W63)</f>
        <v>6000</v>
      </c>
      <c r="AX11" t="s">
        <v>47</v>
      </c>
      <c r="AY11" s="3">
        <v>6000</v>
      </c>
      <c r="AZ11" s="3" t="s">
        <v>26</v>
      </c>
      <c r="BB11" s="21" t="s">
        <v>53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 s="3"/>
      <c r="B12" s="3"/>
      <c r="C12" s="3"/>
      <c r="D12" s="3"/>
      <c r="E12" s="3"/>
      <c r="F12" s="3"/>
      <c r="G12" s="21" t="s">
        <v>54</v>
      </c>
      <c r="H12">
        <v>367.877874525594</v>
      </c>
      <c r="I12">
        <v>1216.4843822021501</v>
      </c>
      <c r="J12">
        <v>1098.9173202546001</v>
      </c>
      <c r="K12">
        <v>1120.4841202078801</v>
      </c>
      <c r="M12" s="3"/>
      <c r="N12" s="3"/>
      <c r="O12" s="3"/>
      <c r="P12" s="3"/>
      <c r="Q12" s="3"/>
      <c r="R12" s="3"/>
      <c r="S12" s="3"/>
      <c r="T12" s="3"/>
      <c r="U12" s="21" t="s">
        <v>54</v>
      </c>
      <c r="V12" s="15">
        <v>0</v>
      </c>
      <c r="W12" s="15">
        <v>0</v>
      </c>
      <c r="X12" s="15">
        <v>0</v>
      </c>
      <c r="Y12" s="15">
        <v>0</v>
      </c>
      <c r="AA12" s="21" t="s">
        <v>54</v>
      </c>
      <c r="AB12" s="15">
        <v>1</v>
      </c>
      <c r="AC12">
        <v>7000000</v>
      </c>
      <c r="AD12">
        <v>4.7096153850000002</v>
      </c>
      <c r="AE12">
        <v>1500000</v>
      </c>
      <c r="AF12">
        <v>50000</v>
      </c>
      <c r="AH12" s="3"/>
      <c r="AI12" s="21" t="s">
        <v>54</v>
      </c>
      <c r="AJ12">
        <v>0</v>
      </c>
      <c r="AK12">
        <v>0</v>
      </c>
      <c r="AL12">
        <v>0</v>
      </c>
      <c r="AM12">
        <v>0</v>
      </c>
      <c r="AN12">
        <v>8500000</v>
      </c>
      <c r="AW12">
        <f>SUM(X18:X21,X39:X42,X60:X63)</f>
        <v>114500</v>
      </c>
      <c r="AX12" t="s">
        <v>47</v>
      </c>
      <c r="AY12" s="3">
        <v>114500</v>
      </c>
      <c r="AZ12" s="3" t="s">
        <v>27</v>
      </c>
      <c r="BB12" s="21" t="s">
        <v>54</v>
      </c>
      <c r="BC12">
        <v>0</v>
      </c>
      <c r="BD12">
        <v>0</v>
      </c>
      <c r="BE12">
        <v>0</v>
      </c>
      <c r="BF12">
        <v>0</v>
      </c>
    </row>
    <row r="13" spans="1:58" x14ac:dyDescent="0.2">
      <c r="A13" s="7" t="s">
        <v>23</v>
      </c>
      <c r="B13" s="3"/>
      <c r="C13" s="3"/>
      <c r="D13" s="3"/>
      <c r="E13" s="3"/>
      <c r="F13" s="3"/>
      <c r="G13" s="21" t="s">
        <v>55</v>
      </c>
      <c r="H13">
        <v>1559.09817345998</v>
      </c>
      <c r="I13">
        <v>714.30198187844996</v>
      </c>
      <c r="J13">
        <v>1950.44679609537</v>
      </c>
      <c r="K13">
        <v>2855.2500719434802</v>
      </c>
      <c r="L13" s="3"/>
      <c r="M13" s="3"/>
      <c r="N13" s="3"/>
      <c r="O13" s="3"/>
      <c r="P13" s="3"/>
      <c r="Q13" s="3"/>
      <c r="R13" s="3"/>
      <c r="S13" s="3"/>
      <c r="T13" s="3"/>
      <c r="U13" s="21" t="s">
        <v>55</v>
      </c>
      <c r="V13" s="15">
        <v>0</v>
      </c>
      <c r="W13" s="15">
        <v>0</v>
      </c>
      <c r="X13" s="15">
        <v>0</v>
      </c>
      <c r="Y13" s="15">
        <v>0</v>
      </c>
      <c r="AA13" s="21" t="s">
        <v>55</v>
      </c>
      <c r="AB13" s="15">
        <v>0</v>
      </c>
      <c r="AC13">
        <v>7000000</v>
      </c>
      <c r="AD13">
        <v>7.926307692</v>
      </c>
      <c r="AE13">
        <v>1500000</v>
      </c>
      <c r="AF13">
        <v>20000</v>
      </c>
      <c r="AG13" s="3"/>
      <c r="AH13" s="3"/>
      <c r="AI13" s="21" t="s">
        <v>55</v>
      </c>
      <c r="AJ13">
        <v>0</v>
      </c>
      <c r="AK13">
        <v>0</v>
      </c>
      <c r="AL13">
        <v>0</v>
      </c>
      <c r="AM13">
        <v>0</v>
      </c>
      <c r="AN13">
        <v>0</v>
      </c>
      <c r="AW13">
        <f>SUM(Y18:Y21,Y39:Y42,Y60:Y63)</f>
        <v>3000</v>
      </c>
      <c r="AX13" t="s">
        <v>47</v>
      </c>
      <c r="AY13" s="3">
        <v>3000</v>
      </c>
      <c r="AZ13" s="3" t="s">
        <v>28</v>
      </c>
      <c r="BB13" s="21" t="s">
        <v>55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 s="3" t="s">
        <v>15</v>
      </c>
      <c r="B14" s="3" t="s">
        <v>24</v>
      </c>
      <c r="C14" s="3" t="s">
        <v>17</v>
      </c>
      <c r="D14" s="3" t="s">
        <v>18</v>
      </c>
      <c r="E14" s="3"/>
      <c r="F14" s="3"/>
      <c r="G14" s="21" t="s">
        <v>56</v>
      </c>
      <c r="H14">
        <v>1266.1262677673999</v>
      </c>
      <c r="I14">
        <v>1758.7329724953199</v>
      </c>
      <c r="J14">
        <v>367.81425173509098</v>
      </c>
      <c r="K14">
        <v>2462.37046531326</v>
      </c>
      <c r="L14" s="3"/>
      <c r="M14" s="3"/>
      <c r="N14" s="3"/>
      <c r="O14" s="3"/>
      <c r="P14" s="3"/>
      <c r="Q14" s="3"/>
      <c r="R14" s="3"/>
      <c r="S14" s="3"/>
      <c r="T14" s="3"/>
      <c r="U14" s="21" t="s">
        <v>56</v>
      </c>
      <c r="V14" s="15">
        <v>0</v>
      </c>
      <c r="W14" s="15">
        <v>0</v>
      </c>
      <c r="X14" s="15">
        <v>0</v>
      </c>
      <c r="Y14" s="15">
        <v>0</v>
      </c>
      <c r="AA14" s="21" t="s">
        <v>56</v>
      </c>
      <c r="AB14" s="15">
        <v>1</v>
      </c>
      <c r="AC14">
        <v>7000000</v>
      </c>
      <c r="AD14">
        <v>4.841307692</v>
      </c>
      <c r="AE14">
        <v>1500000</v>
      </c>
      <c r="AF14">
        <v>60000</v>
      </c>
      <c r="AI14" s="21" t="s">
        <v>56</v>
      </c>
      <c r="AJ14">
        <v>0</v>
      </c>
      <c r="AK14">
        <v>0</v>
      </c>
      <c r="AL14">
        <v>0</v>
      </c>
      <c r="AM14">
        <v>0</v>
      </c>
      <c r="AN14">
        <v>8500000</v>
      </c>
      <c r="AW14">
        <f>SUM(Z18:Z21,Z39:Z42,Z60:Z63)</f>
        <v>16500</v>
      </c>
      <c r="AX14" t="s">
        <v>47</v>
      </c>
      <c r="AY14" s="3">
        <v>16500</v>
      </c>
      <c r="AZ14" s="3" t="s">
        <v>29</v>
      </c>
      <c r="BB14" s="21" t="s">
        <v>56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 s="3" t="s">
        <v>8</v>
      </c>
      <c r="B15" s="3">
        <v>6.5338846200000003</v>
      </c>
      <c r="C15" s="3">
        <v>48.110300000000002</v>
      </c>
      <c r="D15" s="3">
        <v>16.569600000000001</v>
      </c>
      <c r="E15" s="3"/>
      <c r="F15" s="3"/>
      <c r="G15" s="21" t="s">
        <v>57</v>
      </c>
      <c r="H15">
        <v>437.82381957224999</v>
      </c>
      <c r="I15">
        <v>1272.17724890417</v>
      </c>
      <c r="J15">
        <v>554.54740671752097</v>
      </c>
      <c r="K15">
        <v>1592.6403948331599</v>
      </c>
      <c r="L15" s="3"/>
      <c r="M15" s="3"/>
      <c r="N15" s="3"/>
      <c r="O15" s="3"/>
      <c r="P15" s="3"/>
      <c r="Q15" s="3"/>
      <c r="R15" s="3"/>
      <c r="S15" s="3"/>
      <c r="T15" s="3"/>
      <c r="U15" s="21" t="s">
        <v>57</v>
      </c>
      <c r="V15" s="15">
        <v>0</v>
      </c>
      <c r="W15" s="15">
        <v>0</v>
      </c>
      <c r="X15" s="15">
        <v>0</v>
      </c>
      <c r="Y15" s="15">
        <v>0</v>
      </c>
      <c r="AA15" s="21" t="s">
        <v>57</v>
      </c>
      <c r="AB15" s="15">
        <v>1</v>
      </c>
      <c r="AC15">
        <v>7000000</v>
      </c>
      <c r="AD15">
        <v>4.3022692310000004</v>
      </c>
      <c r="AE15">
        <v>1500000</v>
      </c>
      <c r="AF15">
        <v>45000</v>
      </c>
      <c r="AI15" s="21" t="s">
        <v>57</v>
      </c>
      <c r="AJ15">
        <v>0</v>
      </c>
      <c r="AK15">
        <v>0</v>
      </c>
      <c r="AL15">
        <v>0</v>
      </c>
      <c r="AM15">
        <v>0</v>
      </c>
      <c r="AN15">
        <v>8500000</v>
      </c>
      <c r="AW15">
        <f>SUM(AA18:AA21,AA39:AA42,AA60:AA63)</f>
        <v>6500</v>
      </c>
      <c r="AX15" t="s">
        <v>47</v>
      </c>
      <c r="AY15" s="3">
        <v>6500</v>
      </c>
      <c r="AZ15" s="3" t="s">
        <v>30</v>
      </c>
      <c r="BB15" s="21" t="s">
        <v>57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 s="3" t="s">
        <v>9</v>
      </c>
      <c r="B16" s="3">
        <v>4.3022692300000003</v>
      </c>
      <c r="C16" s="3">
        <v>54.361699999999999</v>
      </c>
      <c r="D16" s="3">
        <v>18.651399999999999</v>
      </c>
      <c r="E16" s="3"/>
      <c r="F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AW16">
        <f>SUM(AB18:AB21,AB39:AB42,AB60:AB63)</f>
        <v>500</v>
      </c>
      <c r="AX16" t="s">
        <v>47</v>
      </c>
      <c r="AY16" s="3">
        <v>500</v>
      </c>
      <c r="AZ16" s="3" t="s">
        <v>31</v>
      </c>
    </row>
    <row r="17" spans="1:66" x14ac:dyDescent="0.2">
      <c r="A17" s="3" t="s">
        <v>10</v>
      </c>
      <c r="B17" s="3">
        <v>5.6759230799999996</v>
      </c>
      <c r="C17" s="3">
        <v>49.009700000000002</v>
      </c>
      <c r="D17" s="3">
        <v>2.5478999999999998</v>
      </c>
      <c r="E17" s="3"/>
      <c r="F17" s="4"/>
      <c r="G17" s="1" t="s">
        <v>0</v>
      </c>
      <c r="H17" s="11" t="s">
        <v>25</v>
      </c>
      <c r="I17" s="11" t="s">
        <v>26</v>
      </c>
      <c r="J17" s="11" t="s">
        <v>27</v>
      </c>
      <c r="K17" s="11" t="s">
        <v>28</v>
      </c>
      <c r="L17" s="11" t="s">
        <v>29</v>
      </c>
      <c r="M17" s="11" t="s">
        <v>30</v>
      </c>
      <c r="N17" s="11" t="s">
        <v>31</v>
      </c>
      <c r="O17" s="11" t="s">
        <v>32</v>
      </c>
      <c r="P17" s="11" t="s">
        <v>33</v>
      </c>
      <c r="Q17" s="11" t="s">
        <v>34</v>
      </c>
      <c r="R17" s="11" t="s">
        <v>35</v>
      </c>
      <c r="S17" s="11" t="s">
        <v>36</v>
      </c>
      <c r="U17" s="1" t="s">
        <v>0</v>
      </c>
      <c r="V17" s="11" t="s">
        <v>25</v>
      </c>
      <c r="W17" s="11" t="s">
        <v>26</v>
      </c>
      <c r="X17" s="11" t="s">
        <v>27</v>
      </c>
      <c r="Y17" s="11" t="s">
        <v>28</v>
      </c>
      <c r="Z17" s="11" t="s">
        <v>29</v>
      </c>
      <c r="AA17" s="11" t="s">
        <v>30</v>
      </c>
      <c r="AB17" s="11" t="s">
        <v>31</v>
      </c>
      <c r="AC17" s="11" t="s">
        <v>32</v>
      </c>
      <c r="AD17" s="11" t="s">
        <v>33</v>
      </c>
      <c r="AE17" s="11" t="s">
        <v>34</v>
      </c>
      <c r="AF17" s="11" t="s">
        <v>35</v>
      </c>
      <c r="AG17" s="11" t="s">
        <v>36</v>
      </c>
      <c r="AI17" s="1" t="s">
        <v>0</v>
      </c>
      <c r="AJ17" s="11" t="s">
        <v>25</v>
      </c>
      <c r="AK17" s="11" t="s">
        <v>26</v>
      </c>
      <c r="AL17" s="11" t="s">
        <v>27</v>
      </c>
      <c r="AM17" s="11" t="s">
        <v>28</v>
      </c>
      <c r="AN17" s="11" t="s">
        <v>29</v>
      </c>
      <c r="AO17" s="11" t="s">
        <v>30</v>
      </c>
      <c r="AP17" s="11" t="s">
        <v>31</v>
      </c>
      <c r="AQ17" s="11" t="s">
        <v>32</v>
      </c>
      <c r="AR17" s="11" t="s">
        <v>33</v>
      </c>
      <c r="AS17" s="11" t="s">
        <v>34</v>
      </c>
      <c r="AT17" s="11" t="s">
        <v>35</v>
      </c>
      <c r="AU17" s="11" t="s">
        <v>36</v>
      </c>
      <c r="AW17">
        <f>SUM(AC18:AC21,AC39:AC42,AC60:AC63)</f>
        <v>22000</v>
      </c>
      <c r="AX17" t="s">
        <v>47</v>
      </c>
      <c r="AY17" s="3">
        <v>22000</v>
      </c>
      <c r="AZ17" s="3" t="s">
        <v>32</v>
      </c>
      <c r="BB17" s="1" t="s">
        <v>0</v>
      </c>
      <c r="BC17" s="11" t="s">
        <v>25</v>
      </c>
      <c r="BD17" s="11" t="s">
        <v>26</v>
      </c>
      <c r="BE17" s="11" t="s">
        <v>27</v>
      </c>
      <c r="BF17" s="11" t="s">
        <v>28</v>
      </c>
      <c r="BG17" s="11" t="s">
        <v>29</v>
      </c>
      <c r="BH17" s="11" t="s">
        <v>30</v>
      </c>
      <c r="BI17" s="11" t="s">
        <v>31</v>
      </c>
      <c r="BJ17" s="11" t="s">
        <v>32</v>
      </c>
      <c r="BK17" s="11" t="s">
        <v>33</v>
      </c>
      <c r="BL17" s="11" t="s">
        <v>34</v>
      </c>
      <c r="BM17" s="11" t="s">
        <v>35</v>
      </c>
      <c r="BN17" s="11" t="s">
        <v>36</v>
      </c>
    </row>
    <row r="18" spans="1:66" x14ac:dyDescent="0.2">
      <c r="A18" s="4"/>
      <c r="B18" s="3"/>
      <c r="C18" s="3"/>
      <c r="D18" s="3"/>
      <c r="E18" s="3"/>
      <c r="F18" s="3"/>
      <c r="G18" s="10" t="s">
        <v>19</v>
      </c>
      <c r="H18" s="3">
        <v>1280.7990199999999</v>
      </c>
      <c r="I18" s="3">
        <v>1831.83339</v>
      </c>
      <c r="J18" s="3">
        <v>1480.01845</v>
      </c>
      <c r="K18" s="3">
        <v>1291.8657499999999</v>
      </c>
      <c r="L18" s="3">
        <v>361.84678400000001</v>
      </c>
      <c r="M18" s="3">
        <v>1185.02241</v>
      </c>
      <c r="N18" s="3">
        <v>934.02313500000002</v>
      </c>
      <c r="O18" s="3">
        <v>557.31895899999995</v>
      </c>
      <c r="P18" s="3">
        <v>769.99873300000002</v>
      </c>
      <c r="Q18" s="3">
        <v>2148.6587500000001</v>
      </c>
      <c r="R18" s="3">
        <v>2316.5231899999999</v>
      </c>
      <c r="S18" s="3">
        <v>1590.5757900000001</v>
      </c>
      <c r="T18" s="3"/>
      <c r="U18" s="10" t="s">
        <v>19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I18" s="10" t="s">
        <v>19</v>
      </c>
      <c r="AJ18" cm="1">
        <f t="array" ref="AJ18:AU21">(B5*H18:S21+B21:B24)*V18:AG21</f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f>SUM(AD18:AD21,AD39:AD42,AD60:AD63)</f>
        <v>13000</v>
      </c>
      <c r="AX18" t="s">
        <v>47</v>
      </c>
      <c r="AY18" s="3">
        <v>13000</v>
      </c>
      <c r="AZ18" s="3" t="s">
        <v>33</v>
      </c>
      <c r="BB18" s="10" t="s">
        <v>19</v>
      </c>
      <c r="BC18" cm="1">
        <f t="array" ref="BC18:BN21">H18:S21*(V18:AG21/B7)*952</f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 s="13" t="s">
        <v>37</v>
      </c>
      <c r="F19" s="3"/>
      <c r="G19" s="10" t="s">
        <v>20</v>
      </c>
      <c r="H19" s="3">
        <v>416.56545699999998</v>
      </c>
      <c r="I19" s="3">
        <v>2530.90245</v>
      </c>
      <c r="J19" s="3">
        <v>2141.5278499999999</v>
      </c>
      <c r="K19" s="3">
        <v>564.91897100000006</v>
      </c>
      <c r="L19" s="3">
        <v>675.90874699999995</v>
      </c>
      <c r="M19" s="3">
        <v>312.09291200000001</v>
      </c>
      <c r="N19" s="3">
        <v>172.38078300000001</v>
      </c>
      <c r="O19" s="3">
        <v>622.62840600000004</v>
      </c>
      <c r="P19" s="3">
        <v>1497.87247</v>
      </c>
      <c r="Q19" s="3">
        <v>1388.1726100000001</v>
      </c>
      <c r="R19" s="3">
        <v>1586.1347900000001</v>
      </c>
      <c r="S19" s="3">
        <v>1984.94219</v>
      </c>
      <c r="T19" s="3"/>
      <c r="U19" s="10" t="s">
        <v>20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I19" s="10" t="s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f>SUM(AE18:AE21,AE39:AE42,AE60:AE63)</f>
        <v>1000</v>
      </c>
      <c r="AX19" t="s">
        <v>47</v>
      </c>
      <c r="AY19" s="3">
        <v>1000</v>
      </c>
      <c r="AZ19" s="3" t="s">
        <v>34</v>
      </c>
      <c r="BB19" s="10" t="s">
        <v>20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 s="3" t="s">
        <v>15</v>
      </c>
      <c r="B20" s="3" t="s">
        <v>24</v>
      </c>
      <c r="C20" s="3" t="s">
        <v>17</v>
      </c>
      <c r="D20" s="3" t="s">
        <v>18</v>
      </c>
      <c r="E20" s="3" t="s">
        <v>38</v>
      </c>
      <c r="F20" s="3"/>
      <c r="G20" s="10" t="s">
        <v>21</v>
      </c>
      <c r="H20" s="3">
        <v>1980.3791900000001</v>
      </c>
      <c r="I20" s="3">
        <v>2361.1644700000002</v>
      </c>
      <c r="J20" s="3">
        <v>2103.7152599999999</v>
      </c>
      <c r="K20" s="3">
        <v>2081.5314899999998</v>
      </c>
      <c r="L20" s="3">
        <v>1273.04423</v>
      </c>
      <c r="M20" s="3">
        <v>1702.8825099999999</v>
      </c>
      <c r="N20" s="3">
        <v>1665.1453899999999</v>
      </c>
      <c r="O20" s="3">
        <v>943.28114500000004</v>
      </c>
      <c r="P20" s="3">
        <v>222.38847799999999</v>
      </c>
      <c r="Q20" s="3">
        <v>2940.4324900000001</v>
      </c>
      <c r="R20" s="3">
        <v>3129.52936</v>
      </c>
      <c r="S20" s="3">
        <v>713.93908599999997</v>
      </c>
      <c r="T20" s="3"/>
      <c r="U20" s="10" t="s">
        <v>21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3"/>
      <c r="AI20" s="10" t="s">
        <v>21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f>SUM(AF18:AF21,AF39:AF42,AF60:AF63)</f>
        <v>44000</v>
      </c>
      <c r="AX20" t="s">
        <v>47</v>
      </c>
      <c r="AY20" s="3">
        <v>44000</v>
      </c>
      <c r="AZ20" s="3" t="s">
        <v>35</v>
      </c>
      <c r="BB20" s="10" t="s">
        <v>21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 s="3" t="s">
        <v>19</v>
      </c>
      <c r="B21" s="3">
        <v>4.7682692299999996</v>
      </c>
      <c r="C21" s="3">
        <v>50.029000000000003</v>
      </c>
      <c r="D21" s="3">
        <v>15.808999999999999</v>
      </c>
      <c r="E21" s="3">
        <v>45000</v>
      </c>
      <c r="F21" s="3"/>
      <c r="G21" s="10" t="s">
        <v>22</v>
      </c>
      <c r="H21" s="3">
        <v>2319.27882</v>
      </c>
      <c r="I21" s="3">
        <v>392.73576100000002</v>
      </c>
      <c r="J21" s="3">
        <v>9.1108617400000007</v>
      </c>
      <c r="K21" s="3">
        <v>2163.5780500000001</v>
      </c>
      <c r="L21" s="3">
        <v>1496.75197</v>
      </c>
      <c r="M21" s="3">
        <v>2453.0090399999999</v>
      </c>
      <c r="N21" s="3">
        <v>2049.0579200000002</v>
      </c>
      <c r="O21" s="3">
        <v>2023.5485900000001</v>
      </c>
      <c r="P21" s="3">
        <v>1874.7082700000001</v>
      </c>
      <c r="Q21" s="3">
        <v>2775.6073999999999</v>
      </c>
      <c r="R21" s="3">
        <v>2849.5451200000002</v>
      </c>
      <c r="S21" s="3">
        <v>2806.9366500000001</v>
      </c>
      <c r="T21" s="3"/>
      <c r="U21" s="10" t="s">
        <v>22</v>
      </c>
      <c r="V21" s="15">
        <v>0</v>
      </c>
      <c r="W21" s="15">
        <v>6000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3"/>
      <c r="AI21" s="10" t="s">
        <v>22</v>
      </c>
      <c r="AJ21">
        <v>0</v>
      </c>
      <c r="AK21">
        <v>114653.56269439201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W21">
        <f>SUM(AG18:AG21,AG39:AG42,AG60:AG63)</f>
        <v>500</v>
      </c>
      <c r="AX21" t="s">
        <v>47</v>
      </c>
      <c r="AY21" s="3">
        <v>500</v>
      </c>
      <c r="AZ21" s="3" t="s">
        <v>36</v>
      </c>
      <c r="BB21" s="10" t="s">
        <v>22</v>
      </c>
      <c r="BC21">
        <v>0</v>
      </c>
      <c r="BD21">
        <v>5899896.5337681603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 s="3" t="s">
        <v>20</v>
      </c>
      <c r="B22" s="3">
        <v>5.6759230799999996</v>
      </c>
      <c r="C22" s="3">
        <v>50.334299999999999</v>
      </c>
      <c r="D22" s="3">
        <v>2.9289999999999998</v>
      </c>
      <c r="E22" s="3">
        <v>150000</v>
      </c>
      <c r="F22" s="3"/>
      <c r="G22" s="3"/>
      <c r="H22" s="4"/>
    </row>
    <row r="23" spans="1:66" x14ac:dyDescent="0.2">
      <c r="A23" s="3" t="s">
        <v>21</v>
      </c>
      <c r="B23" s="3">
        <v>4.42603846</v>
      </c>
      <c r="C23" s="3">
        <v>56.896000000000001</v>
      </c>
      <c r="D23" s="3">
        <v>24.045999999999999</v>
      </c>
      <c r="E23" s="3">
        <v>75000</v>
      </c>
      <c r="F23" s="3"/>
      <c r="G23" s="3"/>
      <c r="H23" s="3"/>
      <c r="AB23" s="1"/>
      <c r="AW23" s="1" t="s">
        <v>48</v>
      </c>
    </row>
    <row r="24" spans="1:66" x14ac:dyDescent="0.2">
      <c r="A24" s="3" t="s">
        <v>22</v>
      </c>
      <c r="B24" s="3">
        <v>7.0865</v>
      </c>
      <c r="C24" s="3">
        <v>38.043999999999997</v>
      </c>
      <c r="D24" s="3">
        <v>23.798999999999999</v>
      </c>
      <c r="E24" s="3">
        <v>100000</v>
      </c>
      <c r="F24" s="3"/>
      <c r="G24" s="1" t="s">
        <v>63</v>
      </c>
      <c r="H24" s="9" t="s">
        <v>8</v>
      </c>
      <c r="I24" s="9" t="s">
        <v>9</v>
      </c>
      <c r="J24" s="9" t="s">
        <v>10</v>
      </c>
      <c r="U24" s="4" t="s">
        <v>63</v>
      </c>
      <c r="V24" s="9" t="s">
        <v>8</v>
      </c>
      <c r="W24" s="9" t="s">
        <v>9</v>
      </c>
      <c r="X24" s="9" t="s">
        <v>10</v>
      </c>
      <c r="AB24" s="1"/>
      <c r="AH24" s="3"/>
      <c r="AI24" s="4" t="s">
        <v>63</v>
      </c>
      <c r="AJ24" s="9" t="s">
        <v>8</v>
      </c>
      <c r="AK24" s="9" t="s">
        <v>9</v>
      </c>
      <c r="AL24" s="9" t="s">
        <v>10</v>
      </c>
      <c r="AW24">
        <f>SUM(V4:V5,V25:V26,V46:V47)</f>
        <v>0</v>
      </c>
      <c r="AX24" t="s">
        <v>47</v>
      </c>
      <c r="AY24">
        <f>SUM(V8:Y8,V29:Y29,V50:Y50)</f>
        <v>0</v>
      </c>
      <c r="AZ24" s="3" t="s">
        <v>8</v>
      </c>
      <c r="BB24" s="4" t="s">
        <v>63</v>
      </c>
      <c r="BC24" s="9" t="s">
        <v>8</v>
      </c>
      <c r="BD24" s="9" t="s">
        <v>9</v>
      </c>
      <c r="BE24" s="9" t="s">
        <v>10</v>
      </c>
    </row>
    <row r="25" spans="1:66" x14ac:dyDescent="0.2">
      <c r="A25" s="3"/>
      <c r="B25" s="3"/>
      <c r="C25" s="3"/>
      <c r="D25" s="3"/>
      <c r="E25" s="3"/>
      <c r="F25" s="3"/>
      <c r="G25" s="25" t="s">
        <v>12</v>
      </c>
      <c r="H25" s="30">
        <v>1E+30</v>
      </c>
      <c r="I25" s="30">
        <v>1E+30</v>
      </c>
      <c r="J25" s="30">
        <v>1E+30</v>
      </c>
      <c r="K25" s="29"/>
      <c r="U25" s="8" t="s">
        <v>12</v>
      </c>
      <c r="V25">
        <v>0</v>
      </c>
      <c r="W25">
        <v>0</v>
      </c>
      <c r="X25">
        <v>0</v>
      </c>
      <c r="AG25" s="3"/>
      <c r="AH25" s="3"/>
      <c r="AI25" s="8" t="s">
        <v>12</v>
      </c>
      <c r="AJ25" s="3">
        <v>0</v>
      </c>
      <c r="AK25" s="3">
        <v>0</v>
      </c>
      <c r="AL25" s="3">
        <v>0</v>
      </c>
      <c r="AW25">
        <f>SUM(W4:W5,W25:W26,W46:W47)</f>
        <v>79500</v>
      </c>
      <c r="AX25" t="s">
        <v>47</v>
      </c>
      <c r="AY25">
        <f>SUM(V9:Y9,V30:Y30,V51:Y51)</f>
        <v>79500</v>
      </c>
      <c r="AZ25" s="3" t="s">
        <v>9</v>
      </c>
      <c r="BB25" s="8" t="s">
        <v>12</v>
      </c>
      <c r="BC25" s="3">
        <v>0</v>
      </c>
      <c r="BD25" s="3">
        <v>0</v>
      </c>
      <c r="BE25" s="3">
        <v>0</v>
      </c>
    </row>
    <row r="26" spans="1:66" x14ac:dyDescent="0.2">
      <c r="A26" s="12" t="s">
        <v>40</v>
      </c>
      <c r="B26" s="3"/>
      <c r="C26" s="3"/>
      <c r="D26" s="3"/>
      <c r="E26" s="3"/>
      <c r="F26" s="3"/>
      <c r="G26" s="25" t="s">
        <v>14</v>
      </c>
      <c r="H26" s="30">
        <v>1E+30</v>
      </c>
      <c r="I26" s="30">
        <v>1E+30</v>
      </c>
      <c r="J26" s="30">
        <v>1E+30</v>
      </c>
      <c r="M26" s="30"/>
      <c r="U26" s="8" t="s">
        <v>14</v>
      </c>
      <c r="V26">
        <v>0</v>
      </c>
      <c r="W26">
        <v>0</v>
      </c>
      <c r="X26">
        <v>0</v>
      </c>
      <c r="AC26" s="3"/>
      <c r="AD26" s="3"/>
      <c r="AE26" s="3"/>
      <c r="AF26" s="3"/>
      <c r="AG26" s="3"/>
      <c r="AH26" s="3"/>
      <c r="AI26" s="8" t="s">
        <v>14</v>
      </c>
      <c r="AJ26" s="3">
        <v>0</v>
      </c>
      <c r="AK26" s="3">
        <v>0</v>
      </c>
      <c r="AL26" s="3">
        <v>0</v>
      </c>
      <c r="AW26">
        <f>SUM(X4:X5,X25:X26,X46:X47)</f>
        <v>0</v>
      </c>
      <c r="AX26" t="s">
        <v>47</v>
      </c>
      <c r="AY26">
        <f>SUM(V10:Y10,V31:Y31,V52:Y52)</f>
        <v>0</v>
      </c>
      <c r="AZ26" s="3" t="s">
        <v>10</v>
      </c>
      <c r="BB26" s="8" t="s">
        <v>14</v>
      </c>
      <c r="BC26" s="3">
        <v>0</v>
      </c>
      <c r="BD26" s="3">
        <v>0</v>
      </c>
      <c r="BE26" s="3">
        <v>0</v>
      </c>
    </row>
    <row r="27" spans="1:66" x14ac:dyDescent="0.2">
      <c r="A27" s="3" t="s">
        <v>15</v>
      </c>
      <c r="B27" s="3" t="s">
        <v>3</v>
      </c>
      <c r="C27" s="3" t="s">
        <v>17</v>
      </c>
      <c r="D27" s="3" t="s">
        <v>18</v>
      </c>
      <c r="E27" s="3"/>
      <c r="F27" s="3"/>
      <c r="U27" s="2"/>
      <c r="V27" s="2"/>
      <c r="W27" s="2"/>
      <c r="X27" s="2"/>
      <c r="Y27" s="2"/>
      <c r="Z27" s="2"/>
      <c r="AC27" s="2"/>
      <c r="AD27" s="2"/>
      <c r="AE27" s="2"/>
      <c r="AF27" s="2"/>
      <c r="AG27" s="2"/>
      <c r="AI27" s="2"/>
      <c r="AW27">
        <f>SUM(V8:V15,V29:V36,V50:V57)</f>
        <v>24000</v>
      </c>
      <c r="AX27" t="s">
        <v>47</v>
      </c>
      <c r="AY27">
        <f>SUM(V18:AG18,V39:AG39,V60:AG60)</f>
        <v>24000</v>
      </c>
      <c r="AZ27" t="s">
        <v>19</v>
      </c>
      <c r="BB27" s="2"/>
    </row>
    <row r="28" spans="1:66" x14ac:dyDescent="0.2">
      <c r="A28" s="3" t="s">
        <v>25</v>
      </c>
      <c r="B28" s="3">
        <v>7000</v>
      </c>
      <c r="C28" s="3">
        <v>47.9556915</v>
      </c>
      <c r="D28" s="3">
        <v>-1.495366</v>
      </c>
      <c r="E28" s="3"/>
      <c r="F28" s="3"/>
      <c r="G28" s="1" t="s">
        <v>63</v>
      </c>
      <c r="H28" s="10" t="s">
        <v>19</v>
      </c>
      <c r="I28" s="10" t="s">
        <v>20</v>
      </c>
      <c r="J28" s="10" t="s">
        <v>21</v>
      </c>
      <c r="K28" s="10" t="s">
        <v>22</v>
      </c>
      <c r="U28" s="1" t="s">
        <v>63</v>
      </c>
      <c r="V28" s="10" t="s">
        <v>19</v>
      </c>
      <c r="W28" s="10" t="s">
        <v>20</v>
      </c>
      <c r="X28" s="10" t="s">
        <v>21</v>
      </c>
      <c r="Y28" s="10" t="s">
        <v>22</v>
      </c>
      <c r="AI28" s="1" t="s">
        <v>63</v>
      </c>
      <c r="AJ28" s="10" t="s">
        <v>19</v>
      </c>
      <c r="AK28" s="10" t="s">
        <v>20</v>
      </c>
      <c r="AL28" s="10" t="s">
        <v>21</v>
      </c>
      <c r="AM28" s="10" t="s">
        <v>22</v>
      </c>
      <c r="AW28">
        <f>SUM(W8:W15,W29:W36,W50:W57)</f>
        <v>55500</v>
      </c>
      <c r="AX28" t="s">
        <v>47</v>
      </c>
      <c r="AY28">
        <f>SUM(V19:AG19,V40:AG40,V61:AG61)</f>
        <v>55500</v>
      </c>
      <c r="AZ28" t="s">
        <v>20</v>
      </c>
      <c r="BB28" s="1" t="s">
        <v>63</v>
      </c>
      <c r="BC28" s="10" t="s">
        <v>19</v>
      </c>
      <c r="BD28" s="10" t="s">
        <v>20</v>
      </c>
      <c r="BE28" s="10" t="s">
        <v>21</v>
      </c>
      <c r="BF28" s="10" t="s">
        <v>22</v>
      </c>
    </row>
    <row r="29" spans="1:66" x14ac:dyDescent="0.2">
      <c r="A29" s="3" t="s">
        <v>26</v>
      </c>
      <c r="B29" s="3">
        <v>6000</v>
      </c>
      <c r="C29" s="3">
        <v>35.773417600000002</v>
      </c>
      <c r="D29" s="3">
        <v>27.1814307</v>
      </c>
      <c r="E29" s="3"/>
      <c r="F29" s="3"/>
      <c r="G29" s="27" t="s">
        <v>8</v>
      </c>
      <c r="H29">
        <v>283.57459999999998</v>
      </c>
      <c r="I29">
        <v>1286.4165</v>
      </c>
      <c r="J29">
        <v>1362.1052</v>
      </c>
      <c r="K29">
        <v>1682.0897</v>
      </c>
      <c r="U29" s="9" t="s">
        <v>8</v>
      </c>
      <c r="V29" s="15">
        <v>0</v>
      </c>
      <c r="W29" s="15">
        <v>0</v>
      </c>
      <c r="X29" s="15">
        <v>0</v>
      </c>
      <c r="Y29" s="15">
        <v>0</v>
      </c>
      <c r="AI29" s="9" t="s">
        <v>8</v>
      </c>
      <c r="AJ29" cm="1">
        <f t="array" ref="AJ29:AM31">(D5*H29:K31+B15:B17)*V29:Y31</f>
        <v>0</v>
      </c>
      <c r="AK29">
        <v>0</v>
      </c>
      <c r="AL29">
        <v>0</v>
      </c>
      <c r="AM29">
        <v>0</v>
      </c>
      <c r="AW29">
        <f>SUM(X8:X15,X29:X36,X50:X57)</f>
        <v>60000</v>
      </c>
      <c r="AX29" t="s">
        <v>47</v>
      </c>
      <c r="AY29">
        <f>SUM(V20:AG20,V41:AG41,V62:AG62)</f>
        <v>60000</v>
      </c>
      <c r="AZ29" t="s">
        <v>21</v>
      </c>
      <c r="BB29" s="9" t="s">
        <v>8</v>
      </c>
      <c r="BC29" cm="1">
        <f t="array" ref="BC29:BF36">H29:K36*(V29:Y36/B7)*73</f>
        <v>0</v>
      </c>
      <c r="BD29">
        <v>0</v>
      </c>
      <c r="BE29">
        <v>0</v>
      </c>
      <c r="BF29">
        <v>0</v>
      </c>
    </row>
    <row r="30" spans="1:66" x14ac:dyDescent="0.2">
      <c r="A30" s="3" t="s">
        <v>27</v>
      </c>
      <c r="B30" s="3">
        <v>114500</v>
      </c>
      <c r="C30" s="3">
        <v>37.983941199999997</v>
      </c>
      <c r="D30" s="3">
        <v>23.728305200000001</v>
      </c>
      <c r="E30" s="3"/>
      <c r="F30" s="3"/>
      <c r="G30" s="27" t="s">
        <v>9</v>
      </c>
      <c r="H30">
        <v>655.22719999999902</v>
      </c>
      <c r="I30">
        <v>1426.5703000000001</v>
      </c>
      <c r="J30">
        <v>540.0489</v>
      </c>
      <c r="K30">
        <v>2539.2773999999999</v>
      </c>
      <c r="U30" s="9" t="s">
        <v>9</v>
      </c>
      <c r="V30" s="15">
        <v>24000</v>
      </c>
      <c r="W30" s="15">
        <v>55500</v>
      </c>
      <c r="X30" s="15">
        <v>0</v>
      </c>
      <c r="Y30" s="15">
        <v>0</v>
      </c>
      <c r="AI30" s="9" t="s">
        <v>9</v>
      </c>
      <c r="AJ30">
        <v>409822.16385599953</v>
      </c>
      <c r="AK30">
        <v>1782285.7761817502</v>
      </c>
      <c r="AL30">
        <v>0</v>
      </c>
      <c r="AM30">
        <v>0</v>
      </c>
      <c r="AW30">
        <f>SUM(Y8:Y15,Y29:Y36,Y50:Y57)</f>
        <v>95000</v>
      </c>
      <c r="AX30" t="s">
        <v>47</v>
      </c>
      <c r="AY30">
        <f>SUM(V21:AG21,V42:AG42,V63:AG63)</f>
        <v>95000</v>
      </c>
      <c r="AZ30" t="s">
        <v>22</v>
      </c>
      <c r="BB30" s="9" t="s">
        <v>9</v>
      </c>
      <c r="BC30">
        <v>3019129.6830719952</v>
      </c>
      <c r="BD30">
        <v>15200741.370283497</v>
      </c>
      <c r="BE30">
        <v>0</v>
      </c>
      <c r="BF30">
        <v>0</v>
      </c>
    </row>
    <row r="31" spans="1:66" x14ac:dyDescent="0.2">
      <c r="A31" s="3" t="s">
        <v>28</v>
      </c>
      <c r="B31" s="3">
        <v>3000</v>
      </c>
      <c r="C31" s="3">
        <v>45.747956299999998</v>
      </c>
      <c r="D31" s="3">
        <v>-0.33856140000000001</v>
      </c>
      <c r="E31" s="3"/>
      <c r="F31" s="3"/>
      <c r="G31" s="27" t="s">
        <v>10</v>
      </c>
      <c r="H31">
        <v>1152.3353999999999</v>
      </c>
      <c r="I31">
        <v>157.0652</v>
      </c>
      <c r="J31">
        <v>2094.0954999999999</v>
      </c>
      <c r="K31">
        <v>2889.6354999999999</v>
      </c>
      <c r="U31" s="9" t="s">
        <v>10</v>
      </c>
      <c r="V31" s="15">
        <v>0</v>
      </c>
      <c r="W31" s="15">
        <v>0</v>
      </c>
      <c r="X31" s="15">
        <v>0</v>
      </c>
      <c r="Y31" s="15">
        <v>0</v>
      </c>
      <c r="AI31" s="9" t="s">
        <v>10</v>
      </c>
      <c r="AJ31">
        <v>0</v>
      </c>
      <c r="AK31">
        <v>0</v>
      </c>
      <c r="AL31">
        <v>0</v>
      </c>
      <c r="AM31">
        <v>0</v>
      </c>
      <c r="BB31" s="9" t="s">
        <v>10</v>
      </c>
      <c r="BC31">
        <v>0</v>
      </c>
      <c r="BD31">
        <v>0</v>
      </c>
      <c r="BE31">
        <v>0</v>
      </c>
      <c r="BF31">
        <v>0</v>
      </c>
    </row>
    <row r="32" spans="1:66" x14ac:dyDescent="0.2">
      <c r="A32" s="3" t="s">
        <v>29</v>
      </c>
      <c r="B32" s="3">
        <v>16500</v>
      </c>
      <c r="C32" s="3">
        <v>48.224243399999999</v>
      </c>
      <c r="D32" s="3">
        <v>11.6715263</v>
      </c>
      <c r="E32" s="3"/>
      <c r="F32" s="3"/>
      <c r="G32" s="21" t="s">
        <v>53</v>
      </c>
      <c r="H32">
        <v>120.673</v>
      </c>
      <c r="I32">
        <v>1055.277</v>
      </c>
      <c r="J32">
        <v>1292.3728999999901</v>
      </c>
      <c r="K32">
        <v>1979.7137</v>
      </c>
      <c r="U32" s="21" t="s">
        <v>53</v>
      </c>
      <c r="V32" s="15">
        <v>0</v>
      </c>
      <c r="W32" s="15">
        <v>0</v>
      </c>
      <c r="X32" s="15">
        <v>0</v>
      </c>
      <c r="Y32" s="15">
        <v>0</v>
      </c>
      <c r="AI32" s="21" t="s">
        <v>53</v>
      </c>
      <c r="AJ32" cm="1">
        <f t="array" ref="AJ32:AM36">(D5*H32:K36+AD11:AD15)*V32:Y36</f>
        <v>0</v>
      </c>
      <c r="AK32">
        <v>0</v>
      </c>
      <c r="AL32">
        <v>0</v>
      </c>
      <c r="AM32">
        <v>0</v>
      </c>
      <c r="AW32" s="1" t="s">
        <v>59</v>
      </c>
      <c r="BB32" s="21" t="s">
        <v>53</v>
      </c>
      <c r="BC32">
        <v>0</v>
      </c>
      <c r="BD32">
        <v>0</v>
      </c>
      <c r="BE32">
        <v>0</v>
      </c>
      <c r="BF32">
        <v>0</v>
      </c>
    </row>
    <row r="33" spans="1:66" x14ac:dyDescent="0.2">
      <c r="A33" s="3" t="s">
        <v>30</v>
      </c>
      <c r="B33" s="3">
        <v>6500</v>
      </c>
      <c r="C33" s="3">
        <v>51.783499399999997</v>
      </c>
      <c r="D33" s="3">
        <v>-0.89464410000000005</v>
      </c>
      <c r="E33" s="3"/>
      <c r="F33" s="3"/>
      <c r="G33" s="21" t="s">
        <v>54</v>
      </c>
      <c r="H33">
        <v>464.79500000000002</v>
      </c>
      <c r="I33">
        <v>1511.2248</v>
      </c>
      <c r="J33">
        <v>1538.9049</v>
      </c>
      <c r="K33">
        <v>1461.1261999999999</v>
      </c>
      <c r="U33" s="21" t="s">
        <v>54</v>
      </c>
      <c r="V33" s="15">
        <v>0</v>
      </c>
      <c r="W33" s="15">
        <v>0</v>
      </c>
      <c r="X33" s="15">
        <v>0</v>
      </c>
      <c r="Y33" s="15">
        <v>50000</v>
      </c>
      <c r="AG33" s="3"/>
      <c r="AI33" s="21" t="s">
        <v>54</v>
      </c>
      <c r="AJ33">
        <v>0</v>
      </c>
      <c r="AK33">
        <v>0</v>
      </c>
      <c r="AL33">
        <v>0</v>
      </c>
      <c r="AM33">
        <v>1659713.5327000001</v>
      </c>
      <c r="AW33" s="1" t="s">
        <v>60</v>
      </c>
      <c r="BB33" s="21" t="s">
        <v>54</v>
      </c>
      <c r="BC33">
        <v>0</v>
      </c>
      <c r="BD33">
        <v>0</v>
      </c>
      <c r="BE33">
        <v>0</v>
      </c>
      <c r="BF33">
        <v>14026080.956899997</v>
      </c>
    </row>
    <row r="34" spans="1:66" x14ac:dyDescent="0.2">
      <c r="A34" s="3" t="s">
        <v>31</v>
      </c>
      <c r="B34" s="3">
        <v>500</v>
      </c>
      <c r="C34" s="3">
        <v>48.785892099999998</v>
      </c>
      <c r="D34" s="3">
        <v>3.0292059</v>
      </c>
      <c r="E34" s="3"/>
      <c r="F34" s="3"/>
      <c r="G34" s="21" t="s">
        <v>55</v>
      </c>
      <c r="H34">
        <v>1957.3381999999999</v>
      </c>
      <c r="I34">
        <v>855.08460000000002</v>
      </c>
      <c r="J34">
        <v>2735.1374000000001</v>
      </c>
      <c r="K34">
        <v>3703.6586000000002</v>
      </c>
      <c r="U34" s="21" t="s">
        <v>55</v>
      </c>
      <c r="V34" s="15">
        <v>0</v>
      </c>
      <c r="W34" s="15">
        <v>0</v>
      </c>
      <c r="X34" s="15">
        <v>0</v>
      </c>
      <c r="Y34" s="15">
        <v>0</v>
      </c>
      <c r="AG34" s="3"/>
      <c r="AI34" s="21" t="s">
        <v>55</v>
      </c>
      <c r="AJ34">
        <v>0</v>
      </c>
      <c r="AK34">
        <v>0</v>
      </c>
      <c r="AL34">
        <v>0</v>
      </c>
      <c r="AM34">
        <v>0</v>
      </c>
      <c r="AW34">
        <f>SUM(V11:Y11,V32:Y32,V53:Y53)</f>
        <v>0</v>
      </c>
      <c r="AX34" t="s">
        <v>44</v>
      </c>
      <c r="AY34" cm="1">
        <f t="array" ref="AY34:AY38">AF11:AF15</f>
        <v>25000</v>
      </c>
      <c r="AZ34" t="s">
        <v>53</v>
      </c>
      <c r="BB34" s="21" t="s">
        <v>55</v>
      </c>
      <c r="BC34">
        <v>0</v>
      </c>
      <c r="BD34">
        <v>0</v>
      </c>
      <c r="BE34">
        <v>0</v>
      </c>
      <c r="BF34">
        <v>0</v>
      </c>
    </row>
    <row r="35" spans="1:66" x14ac:dyDescent="0.2">
      <c r="A35" s="3" t="s">
        <v>32</v>
      </c>
      <c r="B35" s="3">
        <v>22000</v>
      </c>
      <c r="C35" s="3">
        <v>53.6736529</v>
      </c>
      <c r="D35" s="3">
        <v>10.2358999</v>
      </c>
      <c r="E35" s="3"/>
      <c r="F35" s="3"/>
      <c r="G35" s="21" t="s">
        <v>56</v>
      </c>
      <c r="H35">
        <v>1615.0483999999999</v>
      </c>
      <c r="I35">
        <v>3579.8420000000001</v>
      </c>
      <c r="J35">
        <v>406.91469999999998</v>
      </c>
      <c r="K35">
        <v>3392.9079999999999</v>
      </c>
      <c r="U35" s="21" t="s">
        <v>56</v>
      </c>
      <c r="V35" s="15">
        <v>0</v>
      </c>
      <c r="W35" s="15">
        <v>0</v>
      </c>
      <c r="X35" s="15">
        <v>60000</v>
      </c>
      <c r="Y35" s="15">
        <v>0</v>
      </c>
      <c r="AI35" s="21" t="s">
        <v>56</v>
      </c>
      <c r="AJ35">
        <v>0</v>
      </c>
      <c r="AK35">
        <v>0</v>
      </c>
      <c r="AL35">
        <v>766446.58610999992</v>
      </c>
      <c r="AM35">
        <v>0</v>
      </c>
      <c r="AW35">
        <f>SUM(V12:Y12,V33:Y33,V54:Y54)</f>
        <v>50000</v>
      </c>
      <c r="AX35" t="s">
        <v>44</v>
      </c>
      <c r="AY35">
        <v>50000</v>
      </c>
      <c r="AZ35" t="s">
        <v>54</v>
      </c>
      <c r="BB35" s="21" t="s">
        <v>56</v>
      </c>
      <c r="BC35">
        <v>0</v>
      </c>
      <c r="BD35">
        <v>0</v>
      </c>
      <c r="BE35">
        <v>4687413.1951799998</v>
      </c>
      <c r="BF35">
        <v>0</v>
      </c>
    </row>
    <row r="36" spans="1:66" x14ac:dyDescent="0.2">
      <c r="A36" s="3" t="s">
        <v>33</v>
      </c>
      <c r="B36" s="3">
        <v>13000</v>
      </c>
      <c r="C36" s="3">
        <v>54.898213900000002</v>
      </c>
      <c r="D36" s="3">
        <v>23.904481700000002</v>
      </c>
      <c r="E36" s="3"/>
      <c r="F36" s="3"/>
      <c r="G36" s="21" t="s">
        <v>57</v>
      </c>
      <c r="H36">
        <v>559.99469999999997</v>
      </c>
      <c r="I36">
        <v>1426.7084</v>
      </c>
      <c r="J36">
        <v>664.62980000000005</v>
      </c>
      <c r="K36">
        <v>2312.9658999999901</v>
      </c>
      <c r="U36" s="21" t="s">
        <v>57</v>
      </c>
      <c r="V36" s="15">
        <v>0</v>
      </c>
      <c r="W36" s="15">
        <v>0</v>
      </c>
      <c r="X36" s="15">
        <v>0</v>
      </c>
      <c r="Y36" s="15">
        <v>45000</v>
      </c>
      <c r="AI36" s="21" t="s">
        <v>57</v>
      </c>
      <c r="AJ36">
        <v>0</v>
      </c>
      <c r="AK36">
        <v>0</v>
      </c>
      <c r="AL36">
        <v>0</v>
      </c>
      <c r="AM36">
        <v>2222709.275317491</v>
      </c>
      <c r="AW36">
        <f>SUM(V13:Y13,V34:Y34,V55:Y55)</f>
        <v>0</v>
      </c>
      <c r="AX36" t="s">
        <v>44</v>
      </c>
      <c r="AY36">
        <v>20000</v>
      </c>
      <c r="AZ36" t="s">
        <v>55</v>
      </c>
      <c r="BB36" s="21" t="s">
        <v>57</v>
      </c>
      <c r="BC36">
        <v>0</v>
      </c>
      <c r="BD36">
        <v>0</v>
      </c>
      <c r="BE36">
        <v>0</v>
      </c>
      <c r="BF36">
        <v>19982984.541344911</v>
      </c>
    </row>
    <row r="37" spans="1:66" x14ac:dyDescent="0.2">
      <c r="A37" s="3" t="s">
        <v>34</v>
      </c>
      <c r="B37" s="3">
        <v>1000</v>
      </c>
      <c r="C37" s="3">
        <v>40.713449099999998</v>
      </c>
      <c r="D37" s="3">
        <v>-8.4825639000000006</v>
      </c>
      <c r="E37" s="3"/>
      <c r="F37" s="3"/>
      <c r="T37" s="1"/>
      <c r="AW37">
        <f>SUM(V14:Y14,V35:Y35,V56:Y56)</f>
        <v>60000</v>
      </c>
      <c r="AX37" t="s">
        <v>44</v>
      </c>
      <c r="AY37">
        <v>60000</v>
      </c>
      <c r="AZ37" t="s">
        <v>56</v>
      </c>
    </row>
    <row r="38" spans="1:66" x14ac:dyDescent="0.2">
      <c r="A38" s="3" t="s">
        <v>35</v>
      </c>
      <c r="B38" s="3">
        <v>44000</v>
      </c>
      <c r="C38" s="3">
        <v>38.8735511</v>
      </c>
      <c r="D38" s="3">
        <v>-9.0785503999999992</v>
      </c>
      <c r="E38" s="3"/>
      <c r="F38" s="3"/>
      <c r="G38" s="1" t="s">
        <v>63</v>
      </c>
      <c r="H38" s="11" t="s">
        <v>25</v>
      </c>
      <c r="I38" s="11" t="s">
        <v>26</v>
      </c>
      <c r="J38" s="11" t="s">
        <v>27</v>
      </c>
      <c r="K38" s="11" t="s">
        <v>28</v>
      </c>
      <c r="L38" s="11" t="s">
        <v>29</v>
      </c>
      <c r="M38" s="11" t="s">
        <v>30</v>
      </c>
      <c r="N38" s="11" t="s">
        <v>31</v>
      </c>
      <c r="O38" s="11" t="s">
        <v>32</v>
      </c>
      <c r="P38" s="11" t="s">
        <v>33</v>
      </c>
      <c r="Q38" s="11" t="s">
        <v>34</v>
      </c>
      <c r="R38" s="11" t="s">
        <v>35</v>
      </c>
      <c r="S38" s="11" t="s">
        <v>36</v>
      </c>
      <c r="T38" s="1"/>
      <c r="U38" s="1" t="s">
        <v>63</v>
      </c>
      <c r="V38" s="11" t="s">
        <v>25</v>
      </c>
      <c r="W38" s="11" t="s">
        <v>26</v>
      </c>
      <c r="X38" s="11" t="s">
        <v>27</v>
      </c>
      <c r="Y38" s="11" t="s">
        <v>28</v>
      </c>
      <c r="Z38" s="11" t="s">
        <v>29</v>
      </c>
      <c r="AA38" s="11" t="s">
        <v>30</v>
      </c>
      <c r="AB38" s="11" t="s">
        <v>31</v>
      </c>
      <c r="AC38" s="11" t="s">
        <v>32</v>
      </c>
      <c r="AD38" s="11" t="s">
        <v>33</v>
      </c>
      <c r="AE38" s="11" t="s">
        <v>34</v>
      </c>
      <c r="AF38" s="11" t="s">
        <v>35</v>
      </c>
      <c r="AG38" s="11" t="s">
        <v>36</v>
      </c>
      <c r="AI38" s="1" t="s">
        <v>63</v>
      </c>
      <c r="AJ38" s="11" t="s">
        <v>25</v>
      </c>
      <c r="AK38" s="11" t="s">
        <v>26</v>
      </c>
      <c r="AL38" s="11" t="s">
        <v>27</v>
      </c>
      <c r="AM38" s="11" t="s">
        <v>28</v>
      </c>
      <c r="AN38" s="11" t="s">
        <v>29</v>
      </c>
      <c r="AO38" s="11" t="s">
        <v>30</v>
      </c>
      <c r="AP38" s="11" t="s">
        <v>31</v>
      </c>
      <c r="AQ38" s="11" t="s">
        <v>32</v>
      </c>
      <c r="AR38" s="11" t="s">
        <v>33</v>
      </c>
      <c r="AS38" s="11" t="s">
        <v>34</v>
      </c>
      <c r="AT38" s="11" t="s">
        <v>35</v>
      </c>
      <c r="AU38" s="11" t="s">
        <v>36</v>
      </c>
      <c r="AW38">
        <f>SUM(V15:Y15,V36:Y36,V57:Y57)</f>
        <v>45000</v>
      </c>
      <c r="AX38" t="s">
        <v>44</v>
      </c>
      <c r="AY38">
        <v>45000</v>
      </c>
      <c r="AZ38" t="s">
        <v>57</v>
      </c>
      <c r="BB38" s="1" t="s">
        <v>63</v>
      </c>
      <c r="BC38" s="11" t="s">
        <v>25</v>
      </c>
      <c r="BD38" s="11" t="s">
        <v>26</v>
      </c>
      <c r="BE38" s="11" t="s">
        <v>27</v>
      </c>
      <c r="BF38" s="11" t="s">
        <v>28</v>
      </c>
      <c r="BG38" s="11" t="s">
        <v>29</v>
      </c>
      <c r="BH38" s="11" t="s">
        <v>30</v>
      </c>
      <c r="BI38" s="11" t="s">
        <v>31</v>
      </c>
      <c r="BJ38" s="11" t="s">
        <v>32</v>
      </c>
      <c r="BK38" s="11" t="s">
        <v>33</v>
      </c>
      <c r="BL38" s="11" t="s">
        <v>34</v>
      </c>
      <c r="BM38" s="11" t="s">
        <v>35</v>
      </c>
      <c r="BN38" s="11" t="s">
        <v>36</v>
      </c>
    </row>
    <row r="39" spans="1:66" x14ac:dyDescent="0.2">
      <c r="A39" s="3" t="s">
        <v>36</v>
      </c>
      <c r="B39" s="3">
        <v>500</v>
      </c>
      <c r="C39" s="3">
        <v>63.246777700000003</v>
      </c>
      <c r="D39" s="3">
        <v>25.920916399999999</v>
      </c>
      <c r="E39" s="3"/>
      <c r="F39" s="3"/>
      <c r="G39" s="28" t="s">
        <v>19</v>
      </c>
      <c r="H39">
        <v>1490.4829</v>
      </c>
      <c r="I39">
        <v>2651.3577999999902</v>
      </c>
      <c r="J39">
        <v>1926.7511</v>
      </c>
      <c r="K39">
        <v>1629.3367000000001</v>
      </c>
      <c r="L39">
        <v>499.1123</v>
      </c>
      <c r="M39">
        <v>1476.8573999999901</v>
      </c>
      <c r="N39">
        <v>1126.5368000000001</v>
      </c>
      <c r="O39">
        <v>757.14750000000004</v>
      </c>
      <c r="P39">
        <v>957.81029999999998</v>
      </c>
      <c r="Q39">
        <v>2655.6288999999902</v>
      </c>
      <c r="R39">
        <v>2815.5151999999998</v>
      </c>
      <c r="S39">
        <v>3241.7808999999902</v>
      </c>
      <c r="U39" s="10" t="s">
        <v>19</v>
      </c>
      <c r="V39" s="15">
        <v>0</v>
      </c>
      <c r="W39" s="15">
        <v>0</v>
      </c>
      <c r="X39" s="15">
        <v>7500</v>
      </c>
      <c r="Y39" s="15">
        <v>0</v>
      </c>
      <c r="Z39" s="15">
        <v>16500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I39" s="10" t="s">
        <v>19</v>
      </c>
      <c r="AJ39" cm="1">
        <f t="array" ref="AJ39:AU42">(D5*H39:S42+B21:B24)*V39:AG42</f>
        <v>0</v>
      </c>
      <c r="AK39">
        <v>0</v>
      </c>
      <c r="AL39">
        <v>317477.11443374999</v>
      </c>
      <c r="AM39">
        <v>0</v>
      </c>
      <c r="AN39">
        <v>239224.64805525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BB39" s="10" t="s">
        <v>19</v>
      </c>
      <c r="BC39" cm="1">
        <f t="array" ref="BC39:BN42">H39:S42*(V39:AG42/B7)*73</f>
        <v>0</v>
      </c>
      <c r="BD39">
        <v>0</v>
      </c>
      <c r="BE39">
        <v>2774377.0776674999</v>
      </c>
      <c r="BF39">
        <v>0</v>
      </c>
      <c r="BG39">
        <v>1581105.4128705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 s="3"/>
      <c r="B40" s="3"/>
      <c r="C40" s="3"/>
      <c r="D40" s="3"/>
      <c r="E40" s="3"/>
      <c r="F40" s="3"/>
      <c r="G40" s="28" t="s">
        <v>20</v>
      </c>
      <c r="H40">
        <v>522.65139999999997</v>
      </c>
      <c r="I40">
        <v>3650.8874000000001</v>
      </c>
      <c r="J40">
        <v>2926.2808</v>
      </c>
      <c r="K40">
        <v>661.50519999999995</v>
      </c>
      <c r="L40">
        <v>862.62419999999997</v>
      </c>
      <c r="M40">
        <v>376.52109999999999</v>
      </c>
      <c r="N40">
        <v>198.95500000000001</v>
      </c>
      <c r="O40">
        <v>737.48379999999997</v>
      </c>
      <c r="P40">
        <v>1843.174</v>
      </c>
      <c r="Q40">
        <v>1741.4002</v>
      </c>
      <c r="R40">
        <v>1901.2865999999999</v>
      </c>
      <c r="S40">
        <v>3197.3615</v>
      </c>
      <c r="U40" s="10" t="s">
        <v>20</v>
      </c>
      <c r="V40" s="15">
        <v>7000</v>
      </c>
      <c r="W40" s="15">
        <v>0</v>
      </c>
      <c r="X40" s="15">
        <v>0</v>
      </c>
      <c r="Y40" s="15">
        <v>3000</v>
      </c>
      <c r="Z40" s="15">
        <v>0</v>
      </c>
      <c r="AA40" s="15">
        <v>0</v>
      </c>
      <c r="AB40" s="15">
        <v>500</v>
      </c>
      <c r="AC40" s="15">
        <v>0</v>
      </c>
      <c r="AD40" s="15">
        <v>0</v>
      </c>
      <c r="AE40" s="15">
        <v>1000</v>
      </c>
      <c r="AF40" s="15">
        <v>44000</v>
      </c>
      <c r="AG40" s="15">
        <v>0</v>
      </c>
      <c r="AI40" s="10" t="s">
        <v>20</v>
      </c>
      <c r="AJ40">
        <v>111055.084861</v>
      </c>
      <c r="AK40">
        <v>0</v>
      </c>
      <c r="AL40">
        <v>0</v>
      </c>
      <c r="AM40">
        <v>55715.900861999988</v>
      </c>
      <c r="AN40">
        <v>0</v>
      </c>
      <c r="AO40">
        <v>0</v>
      </c>
      <c r="AP40">
        <v>4777.2754025000004</v>
      </c>
      <c r="AQ40">
        <v>0</v>
      </c>
      <c r="AR40">
        <v>0</v>
      </c>
      <c r="AS40">
        <v>39624.51997899999</v>
      </c>
      <c r="AT40">
        <v>1880626.2352679998</v>
      </c>
      <c r="AU40">
        <v>0</v>
      </c>
      <c r="AW40" s="1" t="s">
        <v>169</v>
      </c>
      <c r="BB40" s="10" t="s">
        <v>20</v>
      </c>
      <c r="BC40">
        <v>702406.89600199973</v>
      </c>
      <c r="BD40">
        <v>0</v>
      </c>
      <c r="BE40">
        <v>0</v>
      </c>
      <c r="BF40">
        <v>381007.15004399989</v>
      </c>
      <c r="BG40">
        <v>0</v>
      </c>
      <c r="BH40">
        <v>0</v>
      </c>
      <c r="BI40">
        <v>19098.685225000001</v>
      </c>
      <c r="BJ40">
        <v>0</v>
      </c>
      <c r="BK40">
        <v>0</v>
      </c>
      <c r="BL40">
        <v>334331.424398</v>
      </c>
      <c r="BM40">
        <v>16061232.630695997</v>
      </c>
      <c r="BN40">
        <v>0</v>
      </c>
    </row>
    <row r="41" spans="1:66" x14ac:dyDescent="0.2">
      <c r="A41" s="3"/>
      <c r="B41" s="3"/>
      <c r="C41" s="3"/>
      <c r="D41" s="3"/>
      <c r="E41" s="3"/>
      <c r="F41" s="3"/>
      <c r="G41" s="28" t="s">
        <v>21</v>
      </c>
      <c r="H41">
        <v>2425.3516</v>
      </c>
      <c r="I41">
        <v>3725.5347999999999</v>
      </c>
      <c r="J41">
        <v>3000.9281999999998</v>
      </c>
      <c r="K41">
        <v>2564.2053999999998</v>
      </c>
      <c r="L41">
        <v>1607.6742999999999</v>
      </c>
      <c r="M41">
        <v>2224.5360000000001</v>
      </c>
      <c r="N41">
        <v>2112.6426000000001</v>
      </c>
      <c r="O41">
        <v>1340.1551999999999</v>
      </c>
      <c r="P41">
        <v>259.6909</v>
      </c>
      <c r="Q41">
        <v>3644.1003999999998</v>
      </c>
      <c r="R41">
        <v>3803.9867999999901</v>
      </c>
      <c r="S41">
        <v>809.4239</v>
      </c>
      <c r="U41" s="10" t="s">
        <v>21</v>
      </c>
      <c r="V41" s="15">
        <v>0</v>
      </c>
      <c r="W41" s="15">
        <v>0</v>
      </c>
      <c r="X41" s="15">
        <v>18000</v>
      </c>
      <c r="Y41" s="15">
        <v>0</v>
      </c>
      <c r="Z41" s="15">
        <v>0</v>
      </c>
      <c r="AA41" s="15">
        <v>6500</v>
      </c>
      <c r="AB41" s="15">
        <v>0</v>
      </c>
      <c r="AC41" s="15">
        <v>22000</v>
      </c>
      <c r="AD41" s="15">
        <v>13000</v>
      </c>
      <c r="AE41" s="15">
        <v>0</v>
      </c>
      <c r="AF41" s="15">
        <v>0</v>
      </c>
      <c r="AG41" s="15">
        <v>500</v>
      </c>
      <c r="AI41" s="10" t="s">
        <v>21</v>
      </c>
      <c r="AJ41">
        <v>0</v>
      </c>
      <c r="AK41">
        <v>0</v>
      </c>
      <c r="AL41">
        <v>1132724.4069419999</v>
      </c>
      <c r="AM41">
        <v>0</v>
      </c>
      <c r="AN41">
        <v>0</v>
      </c>
      <c r="AO41">
        <v>310656.89056999999</v>
      </c>
      <c r="AP41">
        <v>0</v>
      </c>
      <c r="AQ41">
        <v>672152.0098479999</v>
      </c>
      <c r="AR41">
        <v>123353.26322149999</v>
      </c>
      <c r="AS41">
        <v>0</v>
      </c>
      <c r="AT41">
        <v>0</v>
      </c>
      <c r="AU41">
        <v>10102.87869525</v>
      </c>
      <c r="AW41">
        <f>SUM(V11:Y11,V32:Y32,V53:Y53) -60000*AB11</f>
        <v>0</v>
      </c>
      <c r="AX41" t="s">
        <v>44</v>
      </c>
      <c r="AY41">
        <v>0</v>
      </c>
      <c r="AZ41" t="s">
        <v>53</v>
      </c>
      <c r="BB41" s="10" t="s">
        <v>21</v>
      </c>
      <c r="BC41">
        <v>0</v>
      </c>
      <c r="BD41">
        <v>0</v>
      </c>
      <c r="BE41">
        <v>10370667.692124</v>
      </c>
      <c r="BF41">
        <v>0</v>
      </c>
      <c r="BG41">
        <v>0</v>
      </c>
      <c r="BH41">
        <v>2776076.3331599999</v>
      </c>
      <c r="BI41">
        <v>0</v>
      </c>
      <c r="BJ41">
        <v>5660520.7306559989</v>
      </c>
      <c r="BK41">
        <v>648154.72658299992</v>
      </c>
      <c r="BL41">
        <v>0</v>
      </c>
      <c r="BM41">
        <v>0</v>
      </c>
      <c r="BN41">
        <v>77700.647280500008</v>
      </c>
    </row>
    <row r="42" spans="1:66" x14ac:dyDescent="0.2">
      <c r="A42" s="3"/>
      <c r="B42" s="3"/>
      <c r="C42" s="3"/>
      <c r="D42" s="3"/>
      <c r="E42" s="3"/>
      <c r="F42" s="3"/>
      <c r="G42" s="28" t="s">
        <v>22</v>
      </c>
      <c r="H42">
        <v>3220.6667000000002</v>
      </c>
      <c r="I42">
        <v>1847.1787999999999</v>
      </c>
      <c r="J42">
        <v>11.972099999999999</v>
      </c>
      <c r="K42">
        <v>3046.5137999999902</v>
      </c>
      <c r="L42">
        <v>2033.0400999999999</v>
      </c>
      <c r="M42">
        <v>3216.3939</v>
      </c>
      <c r="N42">
        <v>2856.7206000000001</v>
      </c>
      <c r="O42">
        <v>2623.7366000000002</v>
      </c>
      <c r="P42">
        <v>2730.7902999999901</v>
      </c>
      <c r="Q42">
        <v>4048.4632000000001</v>
      </c>
      <c r="R42">
        <v>4208.3495999999996</v>
      </c>
      <c r="S42">
        <v>5108.3700999999901</v>
      </c>
      <c r="U42" s="10" t="s">
        <v>22</v>
      </c>
      <c r="V42" s="15">
        <v>0</v>
      </c>
      <c r="W42" s="15">
        <v>0</v>
      </c>
      <c r="X42" s="15">
        <v>89000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I42" s="10" t="s">
        <v>22</v>
      </c>
      <c r="AJ42">
        <v>0</v>
      </c>
      <c r="AK42">
        <v>0</v>
      </c>
      <c r="AL42">
        <v>651470.75196550007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W42">
        <f>SUM(V12:Y12,V33:Y33,V54:Y54) -60000*AB12</f>
        <v>-10000</v>
      </c>
      <c r="AX42" t="s">
        <v>44</v>
      </c>
      <c r="AY42">
        <v>0</v>
      </c>
      <c r="AZ42" t="s">
        <v>54</v>
      </c>
      <c r="BB42" s="10" t="s">
        <v>22</v>
      </c>
      <c r="BC42">
        <v>0</v>
      </c>
      <c r="BD42">
        <v>0</v>
      </c>
      <c r="BE42">
        <v>204568.58963099998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 s="3"/>
      <c r="B43" s="3"/>
      <c r="C43" s="3"/>
      <c r="D43" s="3"/>
      <c r="E43" s="3"/>
      <c r="F43" s="3"/>
      <c r="G43" s="3"/>
      <c r="AW43">
        <f>SUM(V13:Y13,V34:Y34,V55:Y55) -60000*AB13</f>
        <v>0</v>
      </c>
      <c r="AX43" t="s">
        <v>44</v>
      </c>
      <c r="AY43">
        <v>0</v>
      </c>
      <c r="AZ43" t="s">
        <v>55</v>
      </c>
    </row>
    <row r="44" spans="1:66" x14ac:dyDescent="0.2">
      <c r="A44" s="3"/>
      <c r="B44" s="3"/>
      <c r="C44" s="3"/>
      <c r="D44" s="3"/>
      <c r="E44" s="3"/>
      <c r="F44" s="3"/>
      <c r="Q44" s="3"/>
      <c r="R44" s="3"/>
      <c r="AJ44" s="1"/>
      <c r="AW44">
        <f>SUM(V14:Y14,V35:Y35,V56:Y56)-60000*AB14</f>
        <v>0</v>
      </c>
      <c r="AX44" t="s">
        <v>44</v>
      </c>
      <c r="AY44">
        <v>0</v>
      </c>
      <c r="AZ44" t="s">
        <v>56</v>
      </c>
      <c r="BC44" s="1"/>
    </row>
    <row r="45" spans="1:66" x14ac:dyDescent="0.2">
      <c r="A45" s="4"/>
      <c r="B45" s="3"/>
      <c r="C45" s="3"/>
      <c r="D45" s="3"/>
      <c r="E45" s="3"/>
      <c r="F45" s="3"/>
      <c r="G45" s="4" t="s">
        <v>1</v>
      </c>
      <c r="H45" s="9" t="s">
        <v>8</v>
      </c>
      <c r="I45" s="9" t="s">
        <v>9</v>
      </c>
      <c r="J45" s="9" t="s">
        <v>10</v>
      </c>
      <c r="U45" s="4" t="s">
        <v>1</v>
      </c>
      <c r="V45" s="9" t="s">
        <v>8</v>
      </c>
      <c r="W45" s="9" t="s">
        <v>9</v>
      </c>
      <c r="X45" s="9" t="s">
        <v>10</v>
      </c>
      <c r="AB45" s="1"/>
      <c r="AI45" s="4" t="s">
        <v>1</v>
      </c>
      <c r="AJ45" s="9" t="s">
        <v>8</v>
      </c>
      <c r="AK45" s="9" t="s">
        <v>9</v>
      </c>
      <c r="AL45" s="9" t="s">
        <v>10</v>
      </c>
      <c r="AW45">
        <f>SUM(V15:Y15,V36:Y36,V57:Y57)-60000*AB15</f>
        <v>-15000</v>
      </c>
      <c r="AX45" t="s">
        <v>44</v>
      </c>
      <c r="AY45">
        <v>0</v>
      </c>
      <c r="AZ45" t="s">
        <v>57</v>
      </c>
      <c r="BB45" s="4" t="s">
        <v>1</v>
      </c>
      <c r="BC45" s="9" t="s">
        <v>8</v>
      </c>
      <c r="BD45" s="9" t="s">
        <v>9</v>
      </c>
      <c r="BE45" s="9" t="s">
        <v>10</v>
      </c>
    </row>
    <row r="46" spans="1:66" x14ac:dyDescent="0.2">
      <c r="A46" s="4"/>
      <c r="G46" s="8" t="s">
        <v>12</v>
      </c>
      <c r="H46" s="30">
        <v>20000</v>
      </c>
      <c r="I46" s="3">
        <v>21120.81</v>
      </c>
      <c r="J46" s="30">
        <v>20000</v>
      </c>
      <c r="K46" s="30"/>
      <c r="L46" s="30"/>
      <c r="T46" s="1"/>
      <c r="U46" s="8" t="s">
        <v>12</v>
      </c>
      <c r="V46" s="15">
        <v>0</v>
      </c>
      <c r="W46" s="15">
        <v>0</v>
      </c>
      <c r="X46" s="15">
        <v>0</v>
      </c>
      <c r="AG46" s="3"/>
      <c r="AI46" s="8" t="s">
        <v>12</v>
      </c>
      <c r="AJ46" cm="1">
        <f t="array" ref="AJ46:AL47">(C5*H46:J47+B10:B11)*V46:X47</f>
        <v>0</v>
      </c>
      <c r="AK46">
        <v>0</v>
      </c>
      <c r="AL46">
        <v>0</v>
      </c>
      <c r="BB46" s="8" t="s">
        <v>12</v>
      </c>
      <c r="BC46" s="30" cm="1">
        <f t="array" ref="BC46:BE47">H46:J47*(V46:X47/B7)*24</f>
        <v>0</v>
      </c>
      <c r="BD46">
        <v>0</v>
      </c>
      <c r="BE46">
        <v>0</v>
      </c>
    </row>
    <row r="47" spans="1:66" x14ac:dyDescent="0.2">
      <c r="B47" s="3"/>
      <c r="C47" s="3"/>
      <c r="D47" s="3"/>
      <c r="G47" s="8" t="s">
        <v>14</v>
      </c>
      <c r="H47" s="30">
        <v>20000</v>
      </c>
      <c r="I47">
        <v>21791.15</v>
      </c>
      <c r="J47" s="30">
        <v>20000</v>
      </c>
      <c r="U47" s="8" t="s">
        <v>14</v>
      </c>
      <c r="V47" s="15">
        <v>0</v>
      </c>
      <c r="W47" s="15">
        <v>0</v>
      </c>
      <c r="X47" s="15">
        <v>0</v>
      </c>
      <c r="AC47" s="3"/>
      <c r="AD47" s="3"/>
      <c r="AE47" s="3"/>
      <c r="AF47" s="3"/>
      <c r="AG47" s="3"/>
      <c r="AI47" s="8" t="s">
        <v>14</v>
      </c>
      <c r="AJ47">
        <v>0</v>
      </c>
      <c r="AK47">
        <v>0</v>
      </c>
      <c r="AL47">
        <v>0</v>
      </c>
      <c r="BB47" s="8" t="s">
        <v>14</v>
      </c>
      <c r="BC47">
        <v>0</v>
      </c>
      <c r="BD47">
        <v>0</v>
      </c>
      <c r="BE47">
        <v>0</v>
      </c>
    </row>
    <row r="48" spans="1:66" x14ac:dyDescent="0.2">
      <c r="B48" s="3"/>
      <c r="C48" s="3"/>
      <c r="D48" s="3"/>
      <c r="U48" s="2"/>
      <c r="V48" s="2"/>
      <c r="W48" s="2"/>
      <c r="X48" s="2"/>
      <c r="Y48" s="2"/>
      <c r="Z48" s="2"/>
      <c r="AC48" s="2"/>
      <c r="AD48" s="2"/>
      <c r="AE48" s="2"/>
      <c r="AF48" s="2"/>
      <c r="AG48" s="2"/>
      <c r="AI48" s="2"/>
      <c r="BB48" s="2"/>
    </row>
    <row r="49" spans="2:66" x14ac:dyDescent="0.2">
      <c r="G49" s="1" t="s">
        <v>1</v>
      </c>
      <c r="H49" s="10" t="s">
        <v>19</v>
      </c>
      <c r="I49" s="10" t="s">
        <v>20</v>
      </c>
      <c r="J49" s="10" t="s">
        <v>21</v>
      </c>
      <c r="K49" s="10" t="s">
        <v>22</v>
      </c>
      <c r="M49" s="30"/>
      <c r="U49" s="1" t="s">
        <v>1</v>
      </c>
      <c r="V49" s="10" t="s">
        <v>19</v>
      </c>
      <c r="W49" s="10" t="s">
        <v>20</v>
      </c>
      <c r="X49" s="10" t="s">
        <v>21</v>
      </c>
      <c r="Y49" s="10" t="s">
        <v>22</v>
      </c>
      <c r="AI49" s="1" t="s">
        <v>1</v>
      </c>
      <c r="AJ49" s="10" t="s">
        <v>19</v>
      </c>
      <c r="AK49" s="10" t="s">
        <v>20</v>
      </c>
      <c r="AL49" s="10" t="s">
        <v>21</v>
      </c>
      <c r="AM49" s="10" t="s">
        <v>22</v>
      </c>
      <c r="AW49" s="4" t="s">
        <v>41</v>
      </c>
      <c r="BB49" s="1" t="s">
        <v>1</v>
      </c>
      <c r="BC49" s="10" t="s">
        <v>19</v>
      </c>
      <c r="BD49" s="10" t="s">
        <v>20</v>
      </c>
      <c r="BE49" s="10" t="s">
        <v>21</v>
      </c>
      <c r="BF49" s="10" t="s">
        <v>22</v>
      </c>
    </row>
    <row r="50" spans="2:66" x14ac:dyDescent="0.2">
      <c r="G50" s="9" t="s">
        <v>8</v>
      </c>
      <c r="H50" s="30">
        <v>20000</v>
      </c>
      <c r="I50" s="30">
        <v>20000</v>
      </c>
      <c r="J50" s="30">
        <v>20000</v>
      </c>
      <c r="K50" s="30">
        <v>20000</v>
      </c>
      <c r="U50" s="9" t="s">
        <v>8</v>
      </c>
      <c r="V50" s="15">
        <v>0</v>
      </c>
      <c r="W50" s="15">
        <v>0</v>
      </c>
      <c r="X50" s="15">
        <v>0</v>
      </c>
      <c r="Y50" s="15">
        <v>0</v>
      </c>
      <c r="AI50" s="9" t="s">
        <v>8</v>
      </c>
      <c r="AJ50" s="30" cm="1">
        <f t="array" ref="AJ50:AM52">(C5*H50:K52+B15:B17)*V50:Y52</f>
        <v>0</v>
      </c>
      <c r="AK50">
        <v>0</v>
      </c>
      <c r="AL50">
        <v>0</v>
      </c>
      <c r="AM50">
        <v>0</v>
      </c>
      <c r="AW50" s="33">
        <f>SUM(_xlfn.ANCHORARRAY(AJ4),AJ8:AN15,_xlfn.ANCHORARRAY(AJ18),AJ29:AM36,_xlfn.ANCHORARRAY(AJ39),AJ50:AM57,_xlfn.ANCHORARRAY(AJ46),_xlfn.ANCHORARRAY(AJ60))</f>
        <v>57736582.040889874</v>
      </c>
      <c r="BB50" s="9" t="s">
        <v>8</v>
      </c>
      <c r="BC50" s="30" cm="1">
        <f t="array" ref="BC50:BF57">H50:K57*(V50:Y57/B7)*24</f>
        <v>0</v>
      </c>
      <c r="BD50">
        <v>0</v>
      </c>
      <c r="BE50">
        <v>0</v>
      </c>
      <c r="BF50">
        <v>0</v>
      </c>
    </row>
    <row r="51" spans="2:66" x14ac:dyDescent="0.2">
      <c r="B51" s="3"/>
      <c r="C51" s="3"/>
      <c r="D51" s="3"/>
      <c r="E51" s="3"/>
      <c r="G51" s="9" t="s">
        <v>9</v>
      </c>
      <c r="H51" s="30">
        <v>20000</v>
      </c>
      <c r="I51" s="30">
        <v>20000</v>
      </c>
      <c r="J51">
        <v>626.22</v>
      </c>
      <c r="K51">
        <v>6939.35</v>
      </c>
      <c r="U51" s="9" t="s">
        <v>9</v>
      </c>
      <c r="V51" s="15">
        <v>0</v>
      </c>
      <c r="W51" s="15">
        <v>0</v>
      </c>
      <c r="X51" s="15">
        <v>0</v>
      </c>
      <c r="Y51" s="15">
        <v>0</v>
      </c>
      <c r="AI51" s="9" t="s">
        <v>9</v>
      </c>
      <c r="AJ51">
        <v>0</v>
      </c>
      <c r="AK51">
        <v>0</v>
      </c>
      <c r="AL51">
        <v>0</v>
      </c>
      <c r="AM51">
        <v>0</v>
      </c>
      <c r="BB51" s="9" t="s">
        <v>9</v>
      </c>
      <c r="BC51">
        <v>0</v>
      </c>
      <c r="BD51">
        <v>0</v>
      </c>
      <c r="BE51">
        <v>0</v>
      </c>
      <c r="BF51">
        <v>0</v>
      </c>
    </row>
    <row r="52" spans="2:66" x14ac:dyDescent="0.2">
      <c r="B52" s="3"/>
      <c r="C52" s="3"/>
      <c r="D52" s="3"/>
      <c r="E52" s="3"/>
      <c r="G52" s="9" t="s">
        <v>10</v>
      </c>
      <c r="H52" s="30">
        <v>20000</v>
      </c>
      <c r="I52" s="30">
        <v>20000</v>
      </c>
      <c r="J52" s="30">
        <v>20000</v>
      </c>
      <c r="K52" s="30">
        <v>20000</v>
      </c>
      <c r="U52" s="9" t="s">
        <v>10</v>
      </c>
      <c r="V52" s="15">
        <v>0</v>
      </c>
      <c r="W52" s="15">
        <v>0</v>
      </c>
      <c r="X52" s="15">
        <v>0</v>
      </c>
      <c r="Y52" s="15">
        <v>0</v>
      </c>
      <c r="AI52" s="9" t="s">
        <v>10</v>
      </c>
      <c r="AJ52">
        <v>0</v>
      </c>
      <c r="AK52">
        <v>0</v>
      </c>
      <c r="AL52">
        <v>0</v>
      </c>
      <c r="AM52">
        <v>0</v>
      </c>
      <c r="AW52" t="s">
        <v>68</v>
      </c>
      <c r="BB52" s="9" t="s">
        <v>10</v>
      </c>
      <c r="BC52">
        <v>0</v>
      </c>
      <c r="BD52">
        <v>0</v>
      </c>
      <c r="BE52">
        <v>0</v>
      </c>
      <c r="BF52">
        <v>0</v>
      </c>
    </row>
    <row r="53" spans="2:66" x14ac:dyDescent="0.2">
      <c r="B53" s="3"/>
      <c r="C53" s="3"/>
      <c r="D53" s="3"/>
      <c r="E53" s="3"/>
      <c r="G53" s="21" t="s">
        <v>53</v>
      </c>
      <c r="H53" s="30">
        <v>20000</v>
      </c>
      <c r="I53" s="30">
        <v>20000</v>
      </c>
      <c r="J53" s="30">
        <v>20000</v>
      </c>
      <c r="K53" s="30">
        <v>20000</v>
      </c>
      <c r="U53" s="21" t="s">
        <v>53</v>
      </c>
      <c r="V53" s="15">
        <v>0</v>
      </c>
      <c r="W53" s="15">
        <v>0</v>
      </c>
      <c r="X53" s="15">
        <v>0</v>
      </c>
      <c r="Y53" s="15">
        <v>0</v>
      </c>
      <c r="AI53" s="21" t="s">
        <v>53</v>
      </c>
      <c r="AJ53" s="30" cm="1">
        <f t="array" ref="AJ53:AM57">(C5*H53:K57+AD11:AD15)*V53:Y57</f>
        <v>0</v>
      </c>
      <c r="AK53">
        <v>0</v>
      </c>
      <c r="AL53">
        <v>0</v>
      </c>
      <c r="AM53">
        <v>0</v>
      </c>
      <c r="AW53" t="s">
        <v>69</v>
      </c>
      <c r="AX53" cm="1">
        <f t="array" ref="AX53">SUM(H4:J5*V4:X5,H8:K15*V8:Y15,H18:S21*V18:AG21)*B6*0.952</f>
        <v>1597522354.4416785</v>
      </c>
      <c r="BB53" s="21" t="s">
        <v>53</v>
      </c>
      <c r="BC53" s="30">
        <v>0</v>
      </c>
      <c r="BD53">
        <v>0</v>
      </c>
      <c r="BE53">
        <v>0</v>
      </c>
      <c r="BF53">
        <v>0</v>
      </c>
    </row>
    <row r="54" spans="2:66" x14ac:dyDescent="0.2">
      <c r="G54" s="21" t="s">
        <v>54</v>
      </c>
      <c r="H54" s="30">
        <v>20000</v>
      </c>
      <c r="I54" s="30">
        <v>20000</v>
      </c>
      <c r="J54" s="30">
        <v>20000</v>
      </c>
      <c r="K54" s="30">
        <v>20000</v>
      </c>
      <c r="U54" s="21" t="s">
        <v>54</v>
      </c>
      <c r="V54" s="15">
        <v>0</v>
      </c>
      <c r="W54" s="15">
        <v>0</v>
      </c>
      <c r="X54" s="15">
        <v>0</v>
      </c>
      <c r="Y54" s="15">
        <v>0</v>
      </c>
      <c r="AG54" s="3"/>
      <c r="AI54" s="21" t="s">
        <v>54</v>
      </c>
      <c r="AJ54">
        <v>0</v>
      </c>
      <c r="AK54">
        <v>0</v>
      </c>
      <c r="AL54">
        <v>0</v>
      </c>
      <c r="AM54">
        <v>0</v>
      </c>
      <c r="AW54" t="s">
        <v>70</v>
      </c>
      <c r="AX54" s="30" cm="1">
        <f t="array" ref="AX54">SUM(H25:J26*V25:X26,H29:K36*V29:Y36,H39:S42*V39:AG42)*B6*0.073</f>
        <v>98507597.743117884</v>
      </c>
      <c r="BB54" s="21" t="s">
        <v>54</v>
      </c>
      <c r="BC54">
        <v>0</v>
      </c>
      <c r="BD54">
        <v>0</v>
      </c>
      <c r="BE54">
        <v>0</v>
      </c>
      <c r="BF54">
        <v>0</v>
      </c>
    </row>
    <row r="55" spans="2:66" x14ac:dyDescent="0.2">
      <c r="G55" s="21" t="s">
        <v>55</v>
      </c>
      <c r="H55" s="30">
        <v>20000</v>
      </c>
      <c r="I55" s="30">
        <v>20000</v>
      </c>
      <c r="J55" s="3">
        <v>3176.12</v>
      </c>
      <c r="K55" s="3">
        <v>5125.41</v>
      </c>
      <c r="U55" s="21" t="s">
        <v>55</v>
      </c>
      <c r="V55" s="15">
        <v>0</v>
      </c>
      <c r="W55" s="15">
        <v>0</v>
      </c>
      <c r="X55" s="15">
        <v>0</v>
      </c>
      <c r="Y55" s="15">
        <v>0</v>
      </c>
      <c r="AG55" s="3"/>
      <c r="AI55" s="21" t="s">
        <v>55</v>
      </c>
      <c r="AJ55">
        <v>0</v>
      </c>
      <c r="AK55">
        <v>0</v>
      </c>
      <c r="AL55">
        <v>0</v>
      </c>
      <c r="AM55">
        <v>0</v>
      </c>
      <c r="AW55" t="s">
        <v>71</v>
      </c>
      <c r="AX55" s="30" cm="1">
        <f t="array" ref="AX55">SUM(H46:J47*V46:X47,H50:K57*V50:Y57,H60:S63*V60:AG63)*B6*0.024</f>
        <v>0</v>
      </c>
      <c r="BB55" s="21" t="s">
        <v>55</v>
      </c>
      <c r="BC55">
        <v>0</v>
      </c>
      <c r="BD55">
        <v>0</v>
      </c>
      <c r="BE55">
        <v>0</v>
      </c>
      <c r="BF55">
        <v>0</v>
      </c>
    </row>
    <row r="56" spans="2:66" x14ac:dyDescent="0.2">
      <c r="F56" s="3"/>
      <c r="G56" s="21" t="s">
        <v>56</v>
      </c>
      <c r="H56" s="30">
        <v>20000</v>
      </c>
      <c r="I56" s="30">
        <v>20000</v>
      </c>
      <c r="J56" s="3">
        <v>419.79</v>
      </c>
      <c r="K56" s="3">
        <v>7414.61</v>
      </c>
      <c r="U56" s="21" t="s">
        <v>56</v>
      </c>
      <c r="V56" s="15">
        <v>0</v>
      </c>
      <c r="W56" s="15">
        <v>0</v>
      </c>
      <c r="X56" s="15">
        <v>0</v>
      </c>
      <c r="Y56" s="15">
        <v>0</v>
      </c>
      <c r="AI56" s="21" t="s">
        <v>56</v>
      </c>
      <c r="AJ56">
        <v>0</v>
      </c>
      <c r="AK56">
        <v>0</v>
      </c>
      <c r="AL56">
        <v>0</v>
      </c>
      <c r="AM56">
        <v>0</v>
      </c>
      <c r="AW56" s="1"/>
      <c r="BB56" s="21" t="s">
        <v>56</v>
      </c>
      <c r="BC56">
        <v>0</v>
      </c>
      <c r="BD56">
        <v>0</v>
      </c>
      <c r="BE56">
        <v>0</v>
      </c>
      <c r="BF56">
        <v>0</v>
      </c>
    </row>
    <row r="57" spans="2:66" x14ac:dyDescent="0.2">
      <c r="F57" s="3"/>
      <c r="G57" s="21" t="s">
        <v>57</v>
      </c>
      <c r="H57" s="30">
        <v>20000</v>
      </c>
      <c r="I57" s="30">
        <v>20000</v>
      </c>
      <c r="J57" s="30">
        <v>20000</v>
      </c>
      <c r="K57" s="30">
        <v>20000</v>
      </c>
      <c r="U57" s="21" t="s">
        <v>57</v>
      </c>
      <c r="V57" s="15">
        <v>0</v>
      </c>
      <c r="W57" s="15">
        <v>0</v>
      </c>
      <c r="X57" s="15">
        <v>0</v>
      </c>
      <c r="Y57" s="15">
        <v>0</v>
      </c>
      <c r="AI57" s="21" t="s">
        <v>57</v>
      </c>
      <c r="AJ57">
        <v>0</v>
      </c>
      <c r="AK57">
        <v>0</v>
      </c>
      <c r="AL57">
        <v>0</v>
      </c>
      <c r="AM57">
        <v>0</v>
      </c>
      <c r="BB57" s="21" t="s">
        <v>57</v>
      </c>
      <c r="BC57">
        <v>0</v>
      </c>
      <c r="BD57">
        <v>0</v>
      </c>
      <c r="BE57">
        <v>0</v>
      </c>
      <c r="BF57">
        <v>0</v>
      </c>
    </row>
    <row r="58" spans="2:66" x14ac:dyDescent="0.2">
      <c r="F58" s="3"/>
      <c r="AW58" s="1"/>
    </row>
    <row r="59" spans="2:66" x14ac:dyDescent="0.2">
      <c r="B59" s="3"/>
      <c r="C59" s="3"/>
      <c r="D59" s="3"/>
      <c r="E59" s="3"/>
      <c r="F59" s="3"/>
      <c r="G59" s="1" t="s">
        <v>1</v>
      </c>
      <c r="H59" s="11" t="s">
        <v>25</v>
      </c>
      <c r="I59" s="11" t="s">
        <v>26</v>
      </c>
      <c r="J59" s="11" t="s">
        <v>27</v>
      </c>
      <c r="K59" s="11" t="s">
        <v>28</v>
      </c>
      <c r="L59" s="11" t="s">
        <v>29</v>
      </c>
      <c r="M59" s="11" t="s">
        <v>30</v>
      </c>
      <c r="N59" s="11" t="s">
        <v>31</v>
      </c>
      <c r="O59" s="11" t="s">
        <v>32</v>
      </c>
      <c r="P59" s="11" t="s">
        <v>33</v>
      </c>
      <c r="Q59" s="11" t="s">
        <v>34</v>
      </c>
      <c r="R59" s="11" t="s">
        <v>35</v>
      </c>
      <c r="S59" s="11" t="s">
        <v>36</v>
      </c>
      <c r="U59" s="1" t="s">
        <v>1</v>
      </c>
      <c r="V59" s="11" t="s">
        <v>25</v>
      </c>
      <c r="W59" s="11" t="s">
        <v>26</v>
      </c>
      <c r="X59" s="11" t="s">
        <v>27</v>
      </c>
      <c r="Y59" s="11" t="s">
        <v>28</v>
      </c>
      <c r="Z59" s="11" t="s">
        <v>29</v>
      </c>
      <c r="AA59" s="11" t="s">
        <v>30</v>
      </c>
      <c r="AB59" s="11" t="s">
        <v>31</v>
      </c>
      <c r="AC59" s="11" t="s">
        <v>32</v>
      </c>
      <c r="AD59" s="11" t="s">
        <v>33</v>
      </c>
      <c r="AE59" s="11" t="s">
        <v>34</v>
      </c>
      <c r="AF59" s="11" t="s">
        <v>35</v>
      </c>
      <c r="AG59" s="11" t="s">
        <v>36</v>
      </c>
      <c r="AI59" s="1" t="s">
        <v>1</v>
      </c>
      <c r="AJ59" s="11" t="s">
        <v>25</v>
      </c>
      <c r="AK59" s="11" t="s">
        <v>26</v>
      </c>
      <c r="AL59" s="11" t="s">
        <v>27</v>
      </c>
      <c r="AM59" s="11" t="s">
        <v>28</v>
      </c>
      <c r="AN59" s="11" t="s">
        <v>29</v>
      </c>
      <c r="AO59" s="11" t="s">
        <v>30</v>
      </c>
      <c r="AP59" s="11" t="s">
        <v>31</v>
      </c>
      <c r="AQ59" s="11" t="s">
        <v>32</v>
      </c>
      <c r="AR59" s="11" t="s">
        <v>33</v>
      </c>
      <c r="AS59" s="11" t="s">
        <v>34</v>
      </c>
      <c r="AT59" s="11" t="s">
        <v>35</v>
      </c>
      <c r="AU59" s="11" t="s">
        <v>36</v>
      </c>
      <c r="BB59" s="1" t="s">
        <v>1</v>
      </c>
      <c r="BC59" s="11" t="s">
        <v>25</v>
      </c>
      <c r="BD59" s="11" t="s">
        <v>26</v>
      </c>
      <c r="BE59" s="11" t="s">
        <v>27</v>
      </c>
      <c r="BF59" s="11" t="s">
        <v>28</v>
      </c>
      <c r="BG59" s="11" t="s">
        <v>29</v>
      </c>
      <c r="BH59" s="11" t="s">
        <v>30</v>
      </c>
      <c r="BI59" s="11" t="s">
        <v>31</v>
      </c>
      <c r="BJ59" s="11" t="s">
        <v>32</v>
      </c>
      <c r="BK59" s="11" t="s">
        <v>33</v>
      </c>
      <c r="BL59" s="11" t="s">
        <v>34</v>
      </c>
      <c r="BM59" s="11" t="s">
        <v>35</v>
      </c>
      <c r="BN59" s="11" t="s">
        <v>36</v>
      </c>
    </row>
    <row r="60" spans="2:66" x14ac:dyDescent="0.2">
      <c r="G60" s="10" t="s">
        <v>19</v>
      </c>
      <c r="H60" s="30">
        <v>20000</v>
      </c>
      <c r="I60" s="30">
        <v>20000</v>
      </c>
      <c r="J60" s="30">
        <v>20000</v>
      </c>
      <c r="K60" s="30">
        <v>20000</v>
      </c>
      <c r="L60" s="30">
        <v>20000</v>
      </c>
      <c r="M60" s="30">
        <v>20000</v>
      </c>
      <c r="N60" s="30">
        <v>20000</v>
      </c>
      <c r="O60" s="30">
        <v>20000</v>
      </c>
      <c r="P60" s="30">
        <v>20000</v>
      </c>
      <c r="Q60" s="30">
        <v>20000</v>
      </c>
      <c r="R60" s="30">
        <v>20000</v>
      </c>
      <c r="S60" s="30">
        <v>20000</v>
      </c>
      <c r="U60" s="10" t="s">
        <v>19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I60" s="10" t="s">
        <v>19</v>
      </c>
      <c r="AJ60" s="30" cm="1">
        <f t="array" ref="AJ60:AU63">(C5*H60:S63+B21:B24)*V60:AG63</f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BB60" s="10" t="s">
        <v>19</v>
      </c>
      <c r="BC60" s="30" cm="1">
        <f t="array" ref="BC60:BN63">H60:S63*(V60:AG63/B7)*24</f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2:66" x14ac:dyDescent="0.2">
      <c r="B61" s="3"/>
      <c r="C61" s="3"/>
      <c r="D61" s="3"/>
      <c r="E61" s="3"/>
      <c r="F61" s="3"/>
      <c r="G61" s="10" t="s">
        <v>20</v>
      </c>
      <c r="H61" s="30">
        <v>20000</v>
      </c>
      <c r="I61" s="30">
        <v>20000</v>
      </c>
      <c r="J61" s="30">
        <v>20000</v>
      </c>
      <c r="K61" s="30">
        <v>20000</v>
      </c>
      <c r="L61" s="30">
        <v>20000</v>
      </c>
      <c r="M61" s="30">
        <v>20000</v>
      </c>
      <c r="N61" s="30">
        <v>20000</v>
      </c>
      <c r="O61" s="30">
        <v>20000</v>
      </c>
      <c r="P61" s="30">
        <v>20000</v>
      </c>
      <c r="Q61" s="30">
        <v>20000</v>
      </c>
      <c r="R61" s="30">
        <v>20000</v>
      </c>
      <c r="S61" s="30">
        <v>20000</v>
      </c>
      <c r="U61" s="10" t="s">
        <v>20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I61" s="10" t="s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BB61" s="10" t="s">
        <v>20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2:66" x14ac:dyDescent="0.2">
      <c r="B62" s="3"/>
      <c r="C62" s="3"/>
      <c r="D62" s="3"/>
      <c r="E62" s="3"/>
      <c r="F62" s="3"/>
      <c r="G62" s="10" t="s">
        <v>21</v>
      </c>
      <c r="H62" s="30">
        <v>20000</v>
      </c>
      <c r="I62">
        <v>7382.62</v>
      </c>
      <c r="J62">
        <v>7252.73</v>
      </c>
      <c r="K62" s="30">
        <v>20000</v>
      </c>
      <c r="L62" s="30">
        <v>20000</v>
      </c>
      <c r="M62" s="30">
        <v>20000</v>
      </c>
      <c r="N62" s="30">
        <v>20000</v>
      </c>
      <c r="O62">
        <v>1803.76</v>
      </c>
      <c r="P62" s="30">
        <v>20000</v>
      </c>
      <c r="Q62" s="30">
        <v>20000</v>
      </c>
      <c r="R62">
        <v>3951.36</v>
      </c>
      <c r="S62" s="30">
        <v>20000</v>
      </c>
      <c r="U62" s="10" t="s">
        <v>21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I62" s="10" t="s">
        <v>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BB62" s="10" t="s">
        <v>21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2:66" x14ac:dyDescent="0.2">
      <c r="B63" s="3"/>
      <c r="C63" s="3"/>
      <c r="D63" s="3"/>
      <c r="E63" s="3"/>
      <c r="F63" s="3"/>
      <c r="G63" s="10" t="s">
        <v>22</v>
      </c>
      <c r="H63" s="30">
        <v>20000</v>
      </c>
      <c r="I63">
        <v>430.2</v>
      </c>
      <c r="J63" s="30">
        <v>20000</v>
      </c>
      <c r="K63" s="30">
        <v>20000</v>
      </c>
      <c r="L63" s="30">
        <v>20000</v>
      </c>
      <c r="M63" s="30">
        <v>20000</v>
      </c>
      <c r="N63" s="30">
        <v>20000</v>
      </c>
      <c r="O63">
        <v>5892.31</v>
      </c>
      <c r="P63" s="30">
        <v>20000</v>
      </c>
      <c r="Q63" s="30">
        <v>20000</v>
      </c>
      <c r="R63">
        <v>3425.34</v>
      </c>
      <c r="S63" s="30">
        <v>20000</v>
      </c>
      <c r="U63" s="10" t="s">
        <v>22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I63" s="10" t="s">
        <v>22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BB63" s="10" t="s">
        <v>22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2:66" x14ac:dyDescent="0.2">
      <c r="B64" s="3"/>
      <c r="C64" s="3"/>
      <c r="D64" s="3"/>
      <c r="E64" s="3"/>
      <c r="F64" s="3"/>
    </row>
    <row r="65" spans="2:56" x14ac:dyDescent="0.2">
      <c r="G65" s="3"/>
      <c r="H65" s="3"/>
      <c r="I65" s="3"/>
      <c r="J65" s="3"/>
      <c r="K65" s="3"/>
      <c r="L65" s="3"/>
      <c r="M65" s="3"/>
      <c r="AI65" s="4"/>
      <c r="BB65" s="1" t="s">
        <v>72</v>
      </c>
    </row>
    <row r="66" spans="2:56" x14ac:dyDescent="0.2">
      <c r="G66" s="3"/>
      <c r="H66" s="3"/>
      <c r="I66" s="3"/>
      <c r="J66" s="30"/>
      <c r="K66" s="3"/>
      <c r="L66" s="3"/>
      <c r="M66" s="3"/>
      <c r="AI66" s="3"/>
      <c r="BB66" s="30">
        <f>SUM(_xlfn.ANCHORARRAY(BC4),_xlfn.ANCHORARRAY(BC8),_xlfn.ANCHORARRAY(BC18),_xlfn.ANCHORARRAY(BC29),_xlfn.ANCHORARRAY(BC39),_xlfn.ANCHORARRAY(BC46),_xlfn.ANCHORARRAY(BC50),_xlfn.ANCHORARRAY(BC60))</f>
        <v>1696029952.1847961</v>
      </c>
      <c r="BC66" t="s">
        <v>44</v>
      </c>
      <c r="BD66" s="30">
        <v>1500000000</v>
      </c>
    </row>
    <row r="67" spans="2:56" x14ac:dyDescent="0.2">
      <c r="G67" s="3"/>
      <c r="H67" s="3"/>
      <c r="I67" s="3"/>
      <c r="J67" s="3"/>
      <c r="K67" s="3"/>
      <c r="L67" s="3"/>
      <c r="M67" s="3"/>
    </row>
    <row r="69" spans="2:56" x14ac:dyDescent="0.2">
      <c r="B69" s="3"/>
      <c r="C69" s="3"/>
      <c r="D69" s="3"/>
      <c r="E69" s="3"/>
      <c r="F69" s="3"/>
    </row>
    <row r="70" spans="2:56" x14ac:dyDescent="0.2">
      <c r="B70" s="3"/>
      <c r="C70" s="3"/>
      <c r="D70" s="3"/>
      <c r="E70" s="3"/>
      <c r="F70" s="3"/>
      <c r="AJ70" s="30"/>
    </row>
    <row r="71" spans="2:56" x14ac:dyDescent="0.2">
      <c r="B71" s="3"/>
      <c r="C71" s="3"/>
      <c r="D71" s="3"/>
      <c r="E71" s="3"/>
      <c r="F71" s="3"/>
    </row>
    <row r="1048550" spans="16384:16384" x14ac:dyDescent="0.2">
      <c r="XFD1048550">
        <f>solver_pre</f>
        <v>9.9999999999999995E-7</v>
      </c>
    </row>
    <row r="1048551" spans="16384:16384" x14ac:dyDescent="0.2">
      <c r="XFD1048551">
        <f>solver_scl</f>
        <v>1</v>
      </c>
    </row>
    <row r="1048552" spans="16384:16384" x14ac:dyDescent="0.2">
      <c r="XFD1048552">
        <f>solver_rlx</f>
        <v>2</v>
      </c>
    </row>
    <row r="1048553" spans="16384:16384" x14ac:dyDescent="0.2">
      <c r="XFD1048553">
        <f>solver_tol</f>
        <v>0.01</v>
      </c>
    </row>
    <row r="1048554" spans="16384:16384" x14ac:dyDescent="0.2">
      <c r="XFD1048554">
        <f>solver_cvg</f>
        <v>1E-4</v>
      </c>
    </row>
    <row r="1048555" spans="16384:16384" x14ac:dyDescent="0.2">
      <c r="XFD1048555" t="e" cm="1">
        <f t="array" aca="1" ref="XFD1048555" ca="1">_xludf.Areas(solver_adj1)</f>
        <v>#NAME?</v>
      </c>
    </row>
    <row r="1048556" spans="16384:16384" x14ac:dyDescent="0.2">
      <c r="XFD1048556">
        <f>solver_ssz</f>
        <v>100</v>
      </c>
    </row>
    <row r="1048557" spans="16384:16384" x14ac:dyDescent="0.2">
      <c r="XFD1048557">
        <f>solver_rsd</f>
        <v>0</v>
      </c>
    </row>
    <row r="1048558" spans="16384:16384" x14ac:dyDescent="0.2">
      <c r="XFD1048558">
        <f>solver_mrt</f>
        <v>7.4999999999999997E-2</v>
      </c>
    </row>
    <row r="1048559" spans="16384:16384" x14ac:dyDescent="0.2">
      <c r="XFD1048559">
        <f>solver_mni</f>
        <v>30</v>
      </c>
    </row>
    <row r="1048560" spans="16384:16384" x14ac:dyDescent="0.2">
      <c r="XFD1048560">
        <f>solver_rbv</f>
        <v>1</v>
      </c>
    </row>
    <row r="1048561" spans="16384:16384" x14ac:dyDescent="0.2">
      <c r="XFD1048561">
        <f>solver_neg</f>
        <v>1</v>
      </c>
    </row>
    <row r="1048562" spans="16384:16384" x14ac:dyDescent="0.2">
      <c r="XFD1048562" t="e" cm="1">
        <f t="array" ref="XFD1048562">solver_ntr</f>
        <v>#NAME?</v>
      </c>
    </row>
    <row r="1048563" spans="16384:16384" x14ac:dyDescent="0.2">
      <c r="XFD1048563" t="e" cm="1">
        <f t="array" ref="XFD1048563">solver_acc</f>
        <v>#NAME?</v>
      </c>
    </row>
    <row r="1048564" spans="16384:16384" x14ac:dyDescent="0.2">
      <c r="XFD1048564" t="e" cm="1">
        <f t="array" ref="XFD1048564">solver_res</f>
        <v>#NAME?</v>
      </c>
    </row>
    <row r="1048565" spans="16384:16384" x14ac:dyDescent="0.2">
      <c r="XFD1048565" t="e" cm="1">
        <f t="array" ref="XFD1048565">solver_ars</f>
        <v>#NAME?</v>
      </c>
    </row>
    <row r="1048566" spans="16384:16384" x14ac:dyDescent="0.2">
      <c r="XFD1048566" t="e" cm="1">
        <f t="array" ref="XFD1048566">solver_sta</f>
        <v>#NAME?</v>
      </c>
    </row>
    <row r="1048567" spans="16384:16384" x14ac:dyDescent="0.2">
      <c r="XFD1048567" t="e" cm="1">
        <f t="array" ref="XFD1048567">solver_met</f>
        <v>#NAME?</v>
      </c>
    </row>
    <row r="1048568" spans="16384:16384" x14ac:dyDescent="0.2">
      <c r="XFD1048568" t="e" cm="1">
        <f t="array" ref="XFD1048568">solver_soc</f>
        <v>#NAME?</v>
      </c>
    </row>
    <row r="1048569" spans="16384:16384" x14ac:dyDescent="0.2">
      <c r="XFD1048569" t="e" cm="1">
        <f t="array" ref="XFD1048569">solver_lpt</f>
        <v>#NAME?</v>
      </c>
    </row>
    <row r="1048570" spans="16384:16384" x14ac:dyDescent="0.2">
      <c r="XFD1048570" t="e" cm="1">
        <f t="array" ref="XFD1048570">solver_lpp</f>
        <v>#NAME?</v>
      </c>
    </row>
    <row r="1048571" spans="16384:16384" x14ac:dyDescent="0.2">
      <c r="XFD1048571" t="e" cm="1">
        <f t="array" ref="XFD1048571">solver_gap</f>
        <v>#NAME?</v>
      </c>
    </row>
    <row r="1048572" spans="16384:16384" x14ac:dyDescent="0.2">
      <c r="XFD1048572" t="e" cm="1">
        <f t="array" ref="XFD1048572">solver_ips</f>
        <v>#NAME?</v>
      </c>
    </row>
    <row r="1048573" spans="16384:16384" x14ac:dyDescent="0.2">
      <c r="XFD1048573" t="e" cm="1">
        <f t="array" ref="XFD1048573">solver_fea</f>
        <v>#NAME?</v>
      </c>
    </row>
    <row r="1048574" spans="16384:16384" x14ac:dyDescent="0.2">
      <c r="XFD1048574" t="e" cm="1">
        <f t="array" ref="XFD1048574">solver_ipi</f>
        <v>#NAME?</v>
      </c>
    </row>
    <row r="1048575" spans="16384:16384" x14ac:dyDescent="0.2">
      <c r="XFD1048575" t="e" cm="1">
        <f t="array" ref="XFD1048575">solver_ipd</f>
        <v>#NAME?</v>
      </c>
    </row>
  </sheetData>
  <pageMargins left="0.7" right="0.7" top="0.78740157499999996" bottom="0.78740157499999996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93067445-F878-45EE-A952-47A7E92FE6B8}">
          <xm:f>'Scenario 4'!1:1048576</xm:f>
        </x15:webExtension>
        <x15:webExtension appRef="{A4D82244-6EB6-4AAC-9C93-B04999E8E88E}">
          <xm:f>'Scenario 4'!XFD1048550:XFD1048575</xm:f>
        </x15:webExtension>
        <x15:webExtension appRef="{9EE65DCC-25CE-479B-870E-C4462FF930FC}">
          <xm:f>'Scenario 4'!$AW$50</xm:f>
        </x15:webExtension>
      </x15:webExtens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C812-E55F-F042-9D85-E6B6CEE19013}">
  <dimension ref="A1:BN84"/>
  <sheetViews>
    <sheetView topLeftCell="AQ38" zoomScale="106" workbookViewId="0">
      <selection activeCell="AW50" sqref="AW50"/>
    </sheetView>
  </sheetViews>
  <sheetFormatPr baseColWidth="10" defaultRowHeight="16" x14ac:dyDescent="0.2"/>
  <sheetData>
    <row r="1" spans="1:58" x14ac:dyDescent="0.2">
      <c r="A1" s="4"/>
      <c r="B1" s="4" t="s">
        <v>0</v>
      </c>
      <c r="C1" s="4" t="s">
        <v>1</v>
      </c>
      <c r="D1" s="4" t="s">
        <v>63</v>
      </c>
      <c r="E1" s="3"/>
      <c r="F1" s="3"/>
      <c r="G1" s="3"/>
    </row>
    <row r="2" spans="1:58" x14ac:dyDescent="0.2">
      <c r="A2" s="3" t="s">
        <v>4</v>
      </c>
      <c r="B2" s="3">
        <v>952</v>
      </c>
      <c r="C2" s="3">
        <v>24</v>
      </c>
      <c r="D2" s="3">
        <v>73</v>
      </c>
      <c r="E2" s="3"/>
      <c r="F2" s="3"/>
      <c r="G2" s="1" t="s">
        <v>45</v>
      </c>
      <c r="U2" s="1" t="s">
        <v>7</v>
      </c>
      <c r="AB2" s="1"/>
      <c r="AI2" s="1" t="s">
        <v>39</v>
      </c>
      <c r="AW2" s="1" t="s">
        <v>42</v>
      </c>
      <c r="BA2" s="3"/>
      <c r="BB2" s="1" t="s">
        <v>64</v>
      </c>
    </row>
    <row r="3" spans="1:58" x14ac:dyDescent="0.2">
      <c r="A3" s="3" t="s">
        <v>65</v>
      </c>
      <c r="B3" s="3">
        <v>1.14E-2</v>
      </c>
      <c r="C3" s="3">
        <v>1.6999999999999999E-3</v>
      </c>
      <c r="D3">
        <v>6.4999999999999997E-3</v>
      </c>
      <c r="E3" s="3"/>
      <c r="F3" s="3"/>
      <c r="G3" s="4" t="s">
        <v>0</v>
      </c>
      <c r="H3" s="9" t="s">
        <v>8</v>
      </c>
      <c r="I3" s="9" t="s">
        <v>9</v>
      </c>
      <c r="J3" s="9" t="s">
        <v>10</v>
      </c>
      <c r="U3" s="4" t="s">
        <v>0</v>
      </c>
      <c r="V3" s="9" t="s">
        <v>8</v>
      </c>
      <c r="W3" s="9" t="s">
        <v>9</v>
      </c>
      <c r="X3" s="9" t="s">
        <v>10</v>
      </c>
      <c r="AB3" s="1"/>
      <c r="AI3" s="4" t="s">
        <v>0</v>
      </c>
      <c r="AJ3" s="9" t="s">
        <v>8</v>
      </c>
      <c r="AK3" s="9" t="s">
        <v>9</v>
      </c>
      <c r="AL3" s="9" t="s">
        <v>10</v>
      </c>
      <c r="AW3" s="1" t="s">
        <v>43</v>
      </c>
      <c r="BA3" s="3"/>
      <c r="BB3" s="4" t="s">
        <v>0</v>
      </c>
      <c r="BC3" s="9" t="s">
        <v>8</v>
      </c>
      <c r="BD3" s="9" t="s">
        <v>9</v>
      </c>
      <c r="BE3" s="9" t="s">
        <v>10</v>
      </c>
    </row>
    <row r="4" spans="1:58" x14ac:dyDescent="0.2">
      <c r="A4" s="3" t="s">
        <v>66</v>
      </c>
      <c r="B4" s="3">
        <v>6.3000000000000003E-4</v>
      </c>
      <c r="C4" s="3">
        <v>5.21E-2</v>
      </c>
      <c r="D4" s="3">
        <v>2.3999999999999998E-3</v>
      </c>
      <c r="E4" s="3"/>
      <c r="F4" s="3"/>
      <c r="G4" s="8" t="s">
        <v>12</v>
      </c>
      <c r="H4" s="3">
        <v>9000.7708299999995</v>
      </c>
      <c r="I4" s="3">
        <v>8561.6520600000003</v>
      </c>
      <c r="J4" s="3">
        <v>9815.4661699999997</v>
      </c>
      <c r="U4" s="8" t="s">
        <v>12</v>
      </c>
      <c r="V4" s="15">
        <v>0</v>
      </c>
      <c r="W4" s="15">
        <v>0</v>
      </c>
      <c r="X4" s="15">
        <v>0</v>
      </c>
      <c r="AG4" s="3"/>
      <c r="AH4" s="3"/>
      <c r="AI4" s="8" t="s">
        <v>12</v>
      </c>
      <c r="AJ4" cm="1">
        <f t="array" ref="AJ4:AL5">(B5*H4:J5+B10:B11)*V4:X5</f>
        <v>0</v>
      </c>
      <c r="AK4">
        <v>0</v>
      </c>
      <c r="AL4">
        <v>0</v>
      </c>
      <c r="AW4">
        <f xml:space="preserve"> SUM(V8:V15,V29:V36,V50:V57)</f>
        <v>25000</v>
      </c>
      <c r="AX4" t="s">
        <v>44</v>
      </c>
      <c r="AY4" s="3">
        <v>45000</v>
      </c>
      <c r="AZ4" s="3" t="s">
        <v>19</v>
      </c>
      <c r="BA4" s="3"/>
      <c r="BB4" s="8" t="s">
        <v>12</v>
      </c>
      <c r="BC4" cm="1">
        <f t="array" ref="BC4:BE5">H4:J5*(V4:X5 / B7)*952</f>
        <v>0</v>
      </c>
      <c r="BD4">
        <v>0</v>
      </c>
      <c r="BE4">
        <v>0</v>
      </c>
    </row>
    <row r="5" spans="1:58" x14ac:dyDescent="0.2">
      <c r="A5" s="4" t="s">
        <v>67</v>
      </c>
      <c r="B5" s="3" cm="1">
        <f t="array" ref="B5:D5">B3:D3*B6+B4:D4</f>
        <v>3.0611999999999997E-2</v>
      </c>
      <c r="C5" s="3">
        <v>5.6570999999999996E-2</v>
      </c>
      <c r="D5" s="3">
        <v>1.9494999999999998E-2</v>
      </c>
      <c r="E5" s="3"/>
      <c r="F5" s="3"/>
      <c r="G5" s="8" t="s">
        <v>14</v>
      </c>
      <c r="H5" s="3">
        <v>8471.3719099999998</v>
      </c>
      <c r="I5" s="3">
        <v>7996.1371200000003</v>
      </c>
      <c r="J5" s="3">
        <v>9243.1630600000008</v>
      </c>
      <c r="U5" s="8" t="s">
        <v>14</v>
      </c>
      <c r="V5" s="15">
        <v>0</v>
      </c>
      <c r="W5" s="15">
        <v>34534</v>
      </c>
      <c r="X5" s="15">
        <v>0</v>
      </c>
      <c r="AC5" s="3"/>
      <c r="AD5" s="3"/>
      <c r="AE5" s="3"/>
      <c r="AF5" s="3"/>
      <c r="AG5" s="3"/>
      <c r="AI5" s="8" t="s">
        <v>14</v>
      </c>
      <c r="AJ5">
        <v>0</v>
      </c>
      <c r="AK5">
        <v>8571377.966302352</v>
      </c>
      <c r="AL5">
        <v>0</v>
      </c>
      <c r="AW5">
        <f>SUM(W8:W15,W29:W36,W50:W57)</f>
        <v>54500</v>
      </c>
      <c r="AX5" t="s">
        <v>44</v>
      </c>
      <c r="AY5" s="3">
        <v>150000</v>
      </c>
      <c r="AZ5" s="3" t="s">
        <v>20</v>
      </c>
      <c r="BB5" s="8" t="s">
        <v>14</v>
      </c>
      <c r="BC5">
        <v>0</v>
      </c>
      <c r="BD5">
        <v>691384779.38857579</v>
      </c>
      <c r="BE5">
        <v>0</v>
      </c>
    </row>
    <row r="6" spans="1:58" x14ac:dyDescent="0.2">
      <c r="A6" s="3" t="s">
        <v>11</v>
      </c>
      <c r="B6" s="3">
        <v>2.63</v>
      </c>
      <c r="C6" s="3"/>
      <c r="D6" s="3"/>
      <c r="E6" s="3"/>
      <c r="F6" s="3"/>
      <c r="U6" s="2"/>
      <c r="V6" s="2"/>
      <c r="W6" s="2"/>
      <c r="X6" s="2"/>
      <c r="Y6" s="2"/>
      <c r="Z6" s="2"/>
      <c r="AC6" s="2"/>
      <c r="AD6" s="2"/>
      <c r="AE6" s="2"/>
      <c r="AF6" s="2"/>
      <c r="AG6" s="2"/>
      <c r="AH6" s="2"/>
      <c r="AI6" s="2"/>
      <c r="AV6" s="2"/>
      <c r="AW6">
        <f>SUM(X8:X15,X29:X36,X50:X57)</f>
        <v>60000</v>
      </c>
      <c r="AX6" t="s">
        <v>44</v>
      </c>
      <c r="AY6" s="3">
        <v>75000</v>
      </c>
      <c r="AZ6" s="3" t="s">
        <v>21</v>
      </c>
      <c r="BB6" s="2"/>
    </row>
    <row r="7" spans="1:58" x14ac:dyDescent="0.2">
      <c r="A7" s="3" t="s">
        <v>178</v>
      </c>
      <c r="B7" s="3">
        <f>1000 / B6</f>
        <v>380.22813688212932</v>
      </c>
      <c r="C7" s="3"/>
      <c r="D7" s="3"/>
      <c r="E7" s="3"/>
      <c r="F7" s="3"/>
      <c r="G7" s="1" t="s">
        <v>0</v>
      </c>
      <c r="H7" s="10" t="s">
        <v>19</v>
      </c>
      <c r="I7" s="10" t="s">
        <v>20</v>
      </c>
      <c r="J7" s="10" t="s">
        <v>21</v>
      </c>
      <c r="K7" s="10" t="s">
        <v>22</v>
      </c>
      <c r="U7" s="1" t="s">
        <v>0</v>
      </c>
      <c r="V7" s="10" t="s">
        <v>19</v>
      </c>
      <c r="W7" s="10" t="s">
        <v>20</v>
      </c>
      <c r="X7" s="10" t="s">
        <v>21</v>
      </c>
      <c r="Y7" s="10" t="s">
        <v>22</v>
      </c>
      <c r="AD7" s="2"/>
      <c r="AE7" s="2"/>
      <c r="AF7" s="2"/>
      <c r="AG7" s="2"/>
      <c r="AI7" s="1" t="s">
        <v>0</v>
      </c>
      <c r="AJ7" s="10" t="s">
        <v>19</v>
      </c>
      <c r="AK7" s="10" t="s">
        <v>20</v>
      </c>
      <c r="AL7" s="10" t="s">
        <v>21</v>
      </c>
      <c r="AM7" s="10" t="s">
        <v>22</v>
      </c>
      <c r="AN7" s="26" t="s">
        <v>58</v>
      </c>
      <c r="AW7">
        <f>SUM(Y8:Y15,Y29:Y36,Y50:Y57)</f>
        <v>95000</v>
      </c>
      <c r="AX7" t="s">
        <v>44</v>
      </c>
      <c r="AY7" s="3">
        <v>100000</v>
      </c>
      <c r="AZ7" s="3" t="s">
        <v>22</v>
      </c>
      <c r="BB7" s="1" t="s">
        <v>0</v>
      </c>
      <c r="BC7" s="10" t="s">
        <v>19</v>
      </c>
      <c r="BD7" s="10" t="s">
        <v>20</v>
      </c>
      <c r="BE7" s="10" t="s">
        <v>21</v>
      </c>
      <c r="BF7" s="10" t="s">
        <v>22</v>
      </c>
    </row>
    <row r="8" spans="1:58" x14ac:dyDescent="0.2">
      <c r="A8" s="5" t="s">
        <v>13</v>
      </c>
      <c r="B8" s="3"/>
      <c r="C8" s="3"/>
      <c r="E8" s="3"/>
      <c r="F8" s="3"/>
      <c r="G8" s="9" t="s">
        <v>8</v>
      </c>
      <c r="H8" s="3">
        <v>220.49319199999999</v>
      </c>
      <c r="I8" s="3">
        <v>1019.75143</v>
      </c>
      <c r="J8" s="3">
        <v>1099.06143</v>
      </c>
      <c r="K8" s="3">
        <v>1263.02225</v>
      </c>
      <c r="U8" s="9" t="s">
        <v>8</v>
      </c>
      <c r="V8" s="15">
        <v>0</v>
      </c>
      <c r="W8" s="15">
        <v>0</v>
      </c>
      <c r="X8" s="15">
        <v>0</v>
      </c>
      <c r="Y8" s="15">
        <v>0</v>
      </c>
      <c r="AI8" s="9" t="s">
        <v>8</v>
      </c>
      <c r="AJ8" cm="1">
        <f t="array" ref="AJ8:AM10">(B5*H8:K10+B15:B17)*V8:Y10</f>
        <v>0</v>
      </c>
      <c r="AK8">
        <v>0</v>
      </c>
      <c r="AL8">
        <v>0</v>
      </c>
      <c r="AM8">
        <v>0</v>
      </c>
      <c r="AN8">
        <v>0</v>
      </c>
      <c r="BB8" s="9" t="s">
        <v>8</v>
      </c>
      <c r="BC8" cm="1">
        <f t="array" ref="BC8:BF15">H8:K15*(V8:Y15/B7)*952</f>
        <v>0</v>
      </c>
      <c r="BD8">
        <v>0</v>
      </c>
      <c r="BE8">
        <v>0</v>
      </c>
      <c r="BF8">
        <v>0</v>
      </c>
    </row>
    <row r="9" spans="1:58" x14ac:dyDescent="0.2">
      <c r="A9" s="6" t="s">
        <v>15</v>
      </c>
      <c r="B9" s="6" t="s">
        <v>16</v>
      </c>
      <c r="C9" s="6" t="s">
        <v>17</v>
      </c>
      <c r="D9" s="3" t="s">
        <v>18</v>
      </c>
      <c r="E9" s="3"/>
      <c r="F9" s="6"/>
      <c r="G9" s="9" t="s">
        <v>9</v>
      </c>
      <c r="H9" s="3">
        <v>519.32400700000005</v>
      </c>
      <c r="I9" s="3">
        <v>1155.2343100000001</v>
      </c>
      <c r="J9" s="3">
        <v>440.47644400000001</v>
      </c>
      <c r="K9" s="3">
        <v>1856.5320200000001</v>
      </c>
      <c r="U9" s="9" t="s">
        <v>9</v>
      </c>
      <c r="V9" s="15">
        <v>0</v>
      </c>
      <c r="W9" s="15">
        <v>0</v>
      </c>
      <c r="X9" s="15">
        <v>0</v>
      </c>
      <c r="Y9" s="15">
        <v>0</v>
      </c>
      <c r="AI9" s="9" t="s">
        <v>9</v>
      </c>
      <c r="AJ9">
        <v>0</v>
      </c>
      <c r="AK9">
        <v>0</v>
      </c>
      <c r="AL9">
        <v>0</v>
      </c>
      <c r="AM9">
        <v>0</v>
      </c>
      <c r="AN9">
        <v>0</v>
      </c>
      <c r="AW9" s="1" t="s">
        <v>46</v>
      </c>
      <c r="BB9" s="9" t="s">
        <v>9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s="3" t="s">
        <v>12</v>
      </c>
      <c r="B10" s="3">
        <v>3.3436923099999998</v>
      </c>
      <c r="C10" s="3">
        <v>25.072134299999998</v>
      </c>
      <c r="D10" s="3">
        <v>121.679919</v>
      </c>
      <c r="E10" s="3"/>
      <c r="F10" s="3"/>
      <c r="G10" s="9" t="s">
        <v>10</v>
      </c>
      <c r="H10" s="3">
        <v>962.97049100000004</v>
      </c>
      <c r="I10" s="3">
        <v>149.866636</v>
      </c>
      <c r="J10" s="3">
        <v>1675.98143</v>
      </c>
      <c r="K10" s="3">
        <v>2091.80017</v>
      </c>
      <c r="U10" s="9" t="s">
        <v>10</v>
      </c>
      <c r="V10" s="15">
        <v>0</v>
      </c>
      <c r="W10" s="15">
        <v>0</v>
      </c>
      <c r="X10" s="15">
        <v>0</v>
      </c>
      <c r="Y10" s="15">
        <v>0</v>
      </c>
      <c r="AB10" s="22" t="s">
        <v>49</v>
      </c>
      <c r="AC10" s="23" t="s">
        <v>50</v>
      </c>
      <c r="AD10" s="23" t="s">
        <v>51</v>
      </c>
      <c r="AE10" s="23" t="s">
        <v>52</v>
      </c>
      <c r="AF10" s="23" t="s">
        <v>2</v>
      </c>
      <c r="AI10" s="9" t="s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W10">
        <f>SUM(V18:V21,V39:V42,V60:V63)</f>
        <v>7000</v>
      </c>
      <c r="AX10" t="s">
        <v>47</v>
      </c>
      <c r="AY10" s="3">
        <v>7000</v>
      </c>
      <c r="AZ10" s="3" t="s">
        <v>25</v>
      </c>
      <c r="BB10" s="9" t="s">
        <v>10</v>
      </c>
      <c r="BC10">
        <v>0</v>
      </c>
      <c r="BD10">
        <v>0</v>
      </c>
      <c r="BE10">
        <v>0</v>
      </c>
      <c r="BF10">
        <v>0</v>
      </c>
    </row>
    <row r="11" spans="1:58" x14ac:dyDescent="0.2">
      <c r="A11" s="3" t="s">
        <v>14</v>
      </c>
      <c r="B11" s="3">
        <v>3.4233846200000002</v>
      </c>
      <c r="C11" s="3">
        <v>31.232343700000001</v>
      </c>
      <c r="D11" s="3">
        <v>121.46910200000001</v>
      </c>
      <c r="E11" s="3"/>
      <c r="F11" s="3"/>
      <c r="G11" s="21" t="s">
        <v>53</v>
      </c>
      <c r="H11">
        <v>98.065420090407898</v>
      </c>
      <c r="I11">
        <v>819.022410170645</v>
      </c>
      <c r="J11">
        <v>988.03782801968202</v>
      </c>
      <c r="K11">
        <v>1530.47935919308</v>
      </c>
      <c r="M11" s="3"/>
      <c r="N11" s="3"/>
      <c r="O11" s="3"/>
      <c r="P11" s="3"/>
      <c r="Q11" s="3"/>
      <c r="R11" s="3"/>
      <c r="S11" s="3"/>
      <c r="T11" s="3"/>
      <c r="U11" s="21" t="s">
        <v>53</v>
      </c>
      <c r="V11" s="15">
        <v>0</v>
      </c>
      <c r="W11" s="15">
        <v>0</v>
      </c>
      <c r="X11" s="15">
        <v>0</v>
      </c>
      <c r="Y11" s="15">
        <v>0</v>
      </c>
      <c r="AA11" s="21" t="s">
        <v>53</v>
      </c>
      <c r="AB11" s="15">
        <v>1</v>
      </c>
      <c r="AC11">
        <v>7000000</v>
      </c>
      <c r="AD11">
        <v>4.7682692309999997</v>
      </c>
      <c r="AE11">
        <v>1500000</v>
      </c>
      <c r="AF11">
        <v>25000</v>
      </c>
      <c r="AI11" s="21" t="s">
        <v>53</v>
      </c>
      <c r="AJ11" cm="1">
        <f t="array" ref="AJ11:AM15">(B5*H11:K15+AD11:AD15)*V11:Y15</f>
        <v>0</v>
      </c>
      <c r="AK11">
        <v>0</v>
      </c>
      <c r="AL11">
        <v>0</v>
      </c>
      <c r="AM11">
        <v>0</v>
      </c>
      <c r="AN11" cm="1">
        <f t="array" ref="AN11:AN15">AB11:AB15*(AE11:AE15+AC11:AC15)</f>
        <v>8500000</v>
      </c>
      <c r="AW11">
        <f>SUM(W18:W21,W39:W42,W60:W63)</f>
        <v>6000</v>
      </c>
      <c r="AX11" t="s">
        <v>47</v>
      </c>
      <c r="AY11" s="3">
        <v>6000</v>
      </c>
      <c r="AZ11" s="3" t="s">
        <v>26</v>
      </c>
      <c r="BB11" s="21" t="s">
        <v>53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 s="3"/>
      <c r="B12" s="3"/>
      <c r="C12" s="3"/>
      <c r="D12" s="3"/>
      <c r="E12" s="3"/>
      <c r="F12" s="3"/>
      <c r="G12" s="21" t="s">
        <v>54</v>
      </c>
      <c r="H12">
        <v>367.877874525594</v>
      </c>
      <c r="I12">
        <v>1216.4843822021501</v>
      </c>
      <c r="J12">
        <v>1098.9173202546001</v>
      </c>
      <c r="K12">
        <v>1120.4841202078801</v>
      </c>
      <c r="M12" s="3"/>
      <c r="N12" s="3"/>
      <c r="O12" s="3"/>
      <c r="P12" s="3"/>
      <c r="Q12" s="3"/>
      <c r="R12" s="3"/>
      <c r="S12" s="3"/>
      <c r="T12" s="3"/>
      <c r="U12" s="21" t="s">
        <v>54</v>
      </c>
      <c r="V12" s="15">
        <v>0</v>
      </c>
      <c r="W12" s="15">
        <v>0</v>
      </c>
      <c r="X12" s="15">
        <v>0</v>
      </c>
      <c r="Y12" s="15">
        <v>0</v>
      </c>
      <c r="AA12" s="21" t="s">
        <v>54</v>
      </c>
      <c r="AB12" s="15">
        <v>1</v>
      </c>
      <c r="AC12">
        <v>7000000</v>
      </c>
      <c r="AD12">
        <v>4.7096153850000002</v>
      </c>
      <c r="AE12">
        <v>1500000</v>
      </c>
      <c r="AF12">
        <v>50000</v>
      </c>
      <c r="AH12" s="3"/>
      <c r="AI12" s="21" t="s">
        <v>54</v>
      </c>
      <c r="AJ12">
        <v>0</v>
      </c>
      <c r="AK12">
        <v>0</v>
      </c>
      <c r="AL12">
        <v>0</v>
      </c>
      <c r="AM12">
        <v>0</v>
      </c>
      <c r="AN12">
        <v>8500000</v>
      </c>
      <c r="AW12">
        <f>SUM(X18:X21,X39:X42,X60:X63)</f>
        <v>114500</v>
      </c>
      <c r="AX12" t="s">
        <v>47</v>
      </c>
      <c r="AY12" s="3">
        <v>114500</v>
      </c>
      <c r="AZ12" s="3" t="s">
        <v>27</v>
      </c>
      <c r="BB12" s="21" t="s">
        <v>54</v>
      </c>
      <c r="BC12">
        <v>0</v>
      </c>
      <c r="BD12">
        <v>0</v>
      </c>
      <c r="BE12">
        <v>0</v>
      </c>
      <c r="BF12">
        <v>0</v>
      </c>
    </row>
    <row r="13" spans="1:58" x14ac:dyDescent="0.2">
      <c r="A13" s="7" t="s">
        <v>23</v>
      </c>
      <c r="B13" s="3"/>
      <c r="C13" s="3"/>
      <c r="D13" s="3"/>
      <c r="E13" s="3"/>
      <c r="F13" s="3"/>
      <c r="G13" s="21" t="s">
        <v>55</v>
      </c>
      <c r="H13">
        <v>1559.09817345998</v>
      </c>
      <c r="I13">
        <v>714.30198187844996</v>
      </c>
      <c r="J13">
        <v>1950.44679609537</v>
      </c>
      <c r="K13">
        <v>2855.2500719434802</v>
      </c>
      <c r="L13" s="3"/>
      <c r="M13" s="3"/>
      <c r="N13" s="3"/>
      <c r="O13" s="3"/>
      <c r="P13" s="3"/>
      <c r="Q13" s="3"/>
      <c r="R13" s="3"/>
      <c r="S13" s="3"/>
      <c r="T13" s="3"/>
      <c r="U13" s="21" t="s">
        <v>55</v>
      </c>
      <c r="V13" s="15">
        <v>0</v>
      </c>
      <c r="W13" s="15">
        <v>0</v>
      </c>
      <c r="X13" s="15">
        <v>0</v>
      </c>
      <c r="Y13" s="15">
        <v>0</v>
      </c>
      <c r="AA13" s="21" t="s">
        <v>55</v>
      </c>
      <c r="AB13" s="15">
        <v>1</v>
      </c>
      <c r="AC13">
        <v>7000000</v>
      </c>
      <c r="AD13">
        <v>7.926307692</v>
      </c>
      <c r="AE13">
        <v>1500000</v>
      </c>
      <c r="AF13">
        <v>20000</v>
      </c>
      <c r="AG13" s="3"/>
      <c r="AH13" s="3"/>
      <c r="AI13" s="21" t="s">
        <v>55</v>
      </c>
      <c r="AJ13">
        <v>0</v>
      </c>
      <c r="AK13">
        <v>0</v>
      </c>
      <c r="AL13">
        <v>0</v>
      </c>
      <c r="AM13">
        <v>0</v>
      </c>
      <c r="AN13">
        <v>8500000</v>
      </c>
      <c r="AW13">
        <f>SUM(Y18:Y21,Y39:Y42,Y60:Y63)</f>
        <v>3000</v>
      </c>
      <c r="AX13" t="s">
        <v>47</v>
      </c>
      <c r="AY13" s="3">
        <v>3000</v>
      </c>
      <c r="AZ13" s="3" t="s">
        <v>28</v>
      </c>
      <c r="BB13" s="21" t="s">
        <v>55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 s="3" t="s">
        <v>15</v>
      </c>
      <c r="B14" s="3" t="s">
        <v>24</v>
      </c>
      <c r="C14" s="3" t="s">
        <v>17</v>
      </c>
      <c r="D14" s="3" t="s">
        <v>18</v>
      </c>
      <c r="E14" s="3"/>
      <c r="F14" s="3"/>
      <c r="G14" s="21" t="s">
        <v>56</v>
      </c>
      <c r="H14">
        <v>1266.1262677673999</v>
      </c>
      <c r="I14">
        <v>1758.7329724953199</v>
      </c>
      <c r="J14">
        <v>367.81425173509098</v>
      </c>
      <c r="K14">
        <v>2462.37046531326</v>
      </c>
      <c r="L14" s="3"/>
      <c r="M14" s="3"/>
      <c r="N14" s="3"/>
      <c r="O14" s="3"/>
      <c r="P14" s="3"/>
      <c r="Q14" s="3"/>
      <c r="R14" s="3"/>
      <c r="S14" s="3"/>
      <c r="T14" s="3"/>
      <c r="U14" s="21" t="s">
        <v>56</v>
      </c>
      <c r="V14" s="15">
        <v>0</v>
      </c>
      <c r="W14" s="15">
        <v>0</v>
      </c>
      <c r="X14" s="15">
        <v>0</v>
      </c>
      <c r="Y14" s="15">
        <v>0</v>
      </c>
      <c r="AA14" s="21" t="s">
        <v>56</v>
      </c>
      <c r="AB14" s="15">
        <v>1</v>
      </c>
      <c r="AC14">
        <v>7000000</v>
      </c>
      <c r="AD14">
        <v>4.841307692</v>
      </c>
      <c r="AE14">
        <v>1500000</v>
      </c>
      <c r="AF14">
        <v>60000</v>
      </c>
      <c r="AI14" s="21" t="s">
        <v>56</v>
      </c>
      <c r="AJ14">
        <v>0</v>
      </c>
      <c r="AK14">
        <v>0</v>
      </c>
      <c r="AL14">
        <v>0</v>
      </c>
      <c r="AM14">
        <v>0</v>
      </c>
      <c r="AN14">
        <v>8500000</v>
      </c>
      <c r="AW14">
        <f>SUM(Z18:Z21,Z39:Z42,Z60:Z63)</f>
        <v>16500</v>
      </c>
      <c r="AX14" t="s">
        <v>47</v>
      </c>
      <c r="AY14" s="3">
        <v>16500</v>
      </c>
      <c r="AZ14" s="3" t="s">
        <v>29</v>
      </c>
      <c r="BB14" s="21" t="s">
        <v>56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 s="3" t="s">
        <v>8</v>
      </c>
      <c r="B15" s="3">
        <v>6.5338846200000003</v>
      </c>
      <c r="C15" s="3">
        <v>48.110300000000002</v>
      </c>
      <c r="D15" s="3">
        <v>16.569600000000001</v>
      </c>
      <c r="E15" s="3"/>
      <c r="F15" s="3"/>
      <c r="G15" s="21" t="s">
        <v>57</v>
      </c>
      <c r="H15">
        <v>437.82381957224999</v>
      </c>
      <c r="I15">
        <v>1272.17724890417</v>
      </c>
      <c r="J15">
        <v>554.54740671752097</v>
      </c>
      <c r="K15">
        <v>1592.6403948331599</v>
      </c>
      <c r="L15" s="3"/>
      <c r="M15" s="3"/>
      <c r="N15" s="3"/>
      <c r="O15" s="3"/>
      <c r="P15" s="3"/>
      <c r="Q15" s="3"/>
      <c r="R15" s="3"/>
      <c r="S15" s="3"/>
      <c r="T15" s="3"/>
      <c r="U15" s="21" t="s">
        <v>57</v>
      </c>
      <c r="V15" s="15">
        <v>0</v>
      </c>
      <c r="W15" s="15">
        <v>0</v>
      </c>
      <c r="X15" s="15">
        <v>0</v>
      </c>
      <c r="Y15" s="15">
        <v>0</v>
      </c>
      <c r="AA15" s="21" t="s">
        <v>57</v>
      </c>
      <c r="AB15" s="15">
        <v>1</v>
      </c>
      <c r="AC15">
        <v>7000000</v>
      </c>
      <c r="AD15">
        <v>4.3022692310000004</v>
      </c>
      <c r="AE15">
        <v>1500000</v>
      </c>
      <c r="AF15">
        <v>45000</v>
      </c>
      <c r="AI15" s="21" t="s">
        <v>57</v>
      </c>
      <c r="AJ15">
        <v>0</v>
      </c>
      <c r="AK15">
        <v>0</v>
      </c>
      <c r="AL15">
        <v>0</v>
      </c>
      <c r="AM15">
        <v>0</v>
      </c>
      <c r="AN15">
        <v>8500000</v>
      </c>
      <c r="AW15">
        <f>SUM(AA18:AA21,AA39:AA42,AA60:AA63)</f>
        <v>6500</v>
      </c>
      <c r="AX15" t="s">
        <v>47</v>
      </c>
      <c r="AY15" s="3">
        <v>6500</v>
      </c>
      <c r="AZ15" s="3" t="s">
        <v>30</v>
      </c>
      <c r="BB15" s="21" t="s">
        <v>57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 s="3" t="s">
        <v>9</v>
      </c>
      <c r="B16" s="3">
        <v>4.3022692300000003</v>
      </c>
      <c r="C16" s="3">
        <v>54.361699999999999</v>
      </c>
      <c r="D16" s="3">
        <v>18.651399999999999</v>
      </c>
      <c r="E16" s="3"/>
      <c r="F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AW16">
        <f>SUM(AB18:AB21,AB39:AB42,AB60:AB63)</f>
        <v>500</v>
      </c>
      <c r="AX16" t="s">
        <v>47</v>
      </c>
      <c r="AY16" s="3">
        <v>500</v>
      </c>
      <c r="AZ16" s="3" t="s">
        <v>31</v>
      </c>
    </row>
    <row r="17" spans="1:66" x14ac:dyDescent="0.2">
      <c r="A17" s="3" t="s">
        <v>10</v>
      </c>
      <c r="B17" s="3">
        <v>5.6759230799999996</v>
      </c>
      <c r="C17" s="3">
        <v>49.009700000000002</v>
      </c>
      <c r="D17" s="3">
        <v>2.5478999999999998</v>
      </c>
      <c r="E17" s="3"/>
      <c r="F17" s="4"/>
      <c r="G17" s="1" t="s">
        <v>0</v>
      </c>
      <c r="H17" s="11" t="s">
        <v>25</v>
      </c>
      <c r="I17" s="11" t="s">
        <v>26</v>
      </c>
      <c r="J17" s="11" t="s">
        <v>27</v>
      </c>
      <c r="K17" s="11" t="s">
        <v>28</v>
      </c>
      <c r="L17" s="11" t="s">
        <v>29</v>
      </c>
      <c r="M17" s="11" t="s">
        <v>30</v>
      </c>
      <c r="N17" s="11" t="s">
        <v>31</v>
      </c>
      <c r="O17" s="11" t="s">
        <v>32</v>
      </c>
      <c r="P17" s="11" t="s">
        <v>33</v>
      </c>
      <c r="Q17" s="11" t="s">
        <v>34</v>
      </c>
      <c r="R17" s="11" t="s">
        <v>35</v>
      </c>
      <c r="S17" s="11" t="s">
        <v>36</v>
      </c>
      <c r="U17" s="1" t="s">
        <v>0</v>
      </c>
      <c r="V17" s="11" t="s">
        <v>25</v>
      </c>
      <c r="W17" s="11" t="s">
        <v>26</v>
      </c>
      <c r="X17" s="11" t="s">
        <v>27</v>
      </c>
      <c r="Y17" s="11" t="s">
        <v>28</v>
      </c>
      <c r="Z17" s="11" t="s">
        <v>29</v>
      </c>
      <c r="AA17" s="11" t="s">
        <v>30</v>
      </c>
      <c r="AB17" s="11" t="s">
        <v>31</v>
      </c>
      <c r="AC17" s="11" t="s">
        <v>32</v>
      </c>
      <c r="AD17" s="11" t="s">
        <v>33</v>
      </c>
      <c r="AE17" s="11" t="s">
        <v>34</v>
      </c>
      <c r="AF17" s="11" t="s">
        <v>35</v>
      </c>
      <c r="AG17" s="11" t="s">
        <v>36</v>
      </c>
      <c r="AI17" s="1" t="s">
        <v>0</v>
      </c>
      <c r="AJ17" s="11" t="s">
        <v>25</v>
      </c>
      <c r="AK17" s="11" t="s">
        <v>26</v>
      </c>
      <c r="AL17" s="11" t="s">
        <v>27</v>
      </c>
      <c r="AM17" s="11" t="s">
        <v>28</v>
      </c>
      <c r="AN17" s="11" t="s">
        <v>29</v>
      </c>
      <c r="AO17" s="11" t="s">
        <v>30</v>
      </c>
      <c r="AP17" s="11" t="s">
        <v>31</v>
      </c>
      <c r="AQ17" s="11" t="s">
        <v>32</v>
      </c>
      <c r="AR17" s="11" t="s">
        <v>33</v>
      </c>
      <c r="AS17" s="11" t="s">
        <v>34</v>
      </c>
      <c r="AT17" s="11" t="s">
        <v>35</v>
      </c>
      <c r="AU17" s="11" t="s">
        <v>36</v>
      </c>
      <c r="AW17">
        <f>SUM(AC18:AC21,AC39:AC42,AC60:AC63)</f>
        <v>22000</v>
      </c>
      <c r="AX17" t="s">
        <v>47</v>
      </c>
      <c r="AY17" s="3">
        <v>22000</v>
      </c>
      <c r="AZ17" s="3" t="s">
        <v>32</v>
      </c>
      <c r="BB17" s="1" t="s">
        <v>0</v>
      </c>
      <c r="BC17" s="11" t="s">
        <v>25</v>
      </c>
      <c r="BD17" s="11" t="s">
        <v>26</v>
      </c>
      <c r="BE17" s="11" t="s">
        <v>27</v>
      </c>
      <c r="BF17" s="11" t="s">
        <v>28</v>
      </c>
      <c r="BG17" s="11" t="s">
        <v>29</v>
      </c>
      <c r="BH17" s="11" t="s">
        <v>30</v>
      </c>
      <c r="BI17" s="11" t="s">
        <v>31</v>
      </c>
      <c r="BJ17" s="11" t="s">
        <v>32</v>
      </c>
      <c r="BK17" s="11" t="s">
        <v>33</v>
      </c>
      <c r="BL17" s="11" t="s">
        <v>34</v>
      </c>
      <c r="BM17" s="11" t="s">
        <v>35</v>
      </c>
      <c r="BN17" s="11" t="s">
        <v>36</v>
      </c>
    </row>
    <row r="18" spans="1:66" x14ac:dyDescent="0.2">
      <c r="A18" s="4"/>
      <c r="B18" s="3"/>
      <c r="C18" s="3"/>
      <c r="D18" s="3"/>
      <c r="E18" s="3"/>
      <c r="F18" s="3"/>
      <c r="G18" s="10" t="s">
        <v>19</v>
      </c>
      <c r="H18" s="3">
        <v>1280.7990199999999</v>
      </c>
      <c r="I18" s="3">
        <v>1831.83339</v>
      </c>
      <c r="J18" s="3">
        <v>1480.01845</v>
      </c>
      <c r="K18" s="3">
        <v>1291.8657499999999</v>
      </c>
      <c r="L18" s="3">
        <v>361.84678400000001</v>
      </c>
      <c r="M18" s="3">
        <v>1185.02241</v>
      </c>
      <c r="N18" s="3">
        <v>934.02313500000002</v>
      </c>
      <c r="O18" s="3">
        <v>557.31895899999995</v>
      </c>
      <c r="P18" s="3">
        <v>769.99873300000002</v>
      </c>
      <c r="Q18" s="3">
        <v>2148.6587500000001</v>
      </c>
      <c r="R18" s="3">
        <v>2316.5231899999999</v>
      </c>
      <c r="S18" s="3">
        <v>1590.5757900000001</v>
      </c>
      <c r="T18" s="3"/>
      <c r="U18" s="10" t="s">
        <v>19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I18" s="10" t="s">
        <v>19</v>
      </c>
      <c r="AJ18" cm="1">
        <f t="array" ref="AJ18:AU21">(B5*H18:S21+B21:B24)*V18:AG21</f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f>SUM(AD18:AD21,AD39:AD42,AD60:AD63)</f>
        <v>13000</v>
      </c>
      <c r="AX18" t="s">
        <v>47</v>
      </c>
      <c r="AY18" s="3">
        <v>13000</v>
      </c>
      <c r="AZ18" s="3" t="s">
        <v>33</v>
      </c>
      <c r="BB18" s="10" t="s">
        <v>19</v>
      </c>
      <c r="BC18" cm="1">
        <f t="array" ref="BC18:BN21">H18:S21*(V18:AG21/B7)*952</f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 s="13" t="s">
        <v>37</v>
      </c>
      <c r="F19" s="3"/>
      <c r="G19" s="10" t="s">
        <v>20</v>
      </c>
      <c r="H19" s="3">
        <v>416.56545699999998</v>
      </c>
      <c r="I19" s="3">
        <v>2530.90245</v>
      </c>
      <c r="J19" s="3">
        <v>2141.5278499999999</v>
      </c>
      <c r="K19" s="3">
        <v>564.91897100000006</v>
      </c>
      <c r="L19" s="3">
        <v>675.90874699999995</v>
      </c>
      <c r="M19" s="3">
        <v>312.09291200000001</v>
      </c>
      <c r="N19" s="3">
        <v>172.38078300000001</v>
      </c>
      <c r="O19" s="3">
        <v>622.62840600000004</v>
      </c>
      <c r="P19" s="3">
        <v>1497.87247</v>
      </c>
      <c r="Q19" s="3">
        <v>1388.1726100000001</v>
      </c>
      <c r="R19" s="3">
        <v>1586.1347900000001</v>
      </c>
      <c r="S19" s="3">
        <v>1984.94219</v>
      </c>
      <c r="T19" s="3"/>
      <c r="U19" s="10" t="s">
        <v>20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I19" s="10" t="s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f>SUM(AE18:AE21,AE39:AE42,AE60:AE63)</f>
        <v>1000</v>
      </c>
      <c r="AX19" t="s">
        <v>47</v>
      </c>
      <c r="AY19" s="3">
        <v>1000</v>
      </c>
      <c r="AZ19" s="3" t="s">
        <v>34</v>
      </c>
      <c r="BB19" s="10" t="s">
        <v>20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 s="3" t="s">
        <v>15</v>
      </c>
      <c r="B20" s="3" t="s">
        <v>24</v>
      </c>
      <c r="C20" s="3" t="s">
        <v>17</v>
      </c>
      <c r="D20" s="3" t="s">
        <v>18</v>
      </c>
      <c r="E20" s="3" t="s">
        <v>38</v>
      </c>
      <c r="F20" s="3"/>
      <c r="G20" s="10" t="s">
        <v>21</v>
      </c>
      <c r="H20" s="3">
        <v>1980.3791900000001</v>
      </c>
      <c r="I20" s="3">
        <v>2361.1644700000002</v>
      </c>
      <c r="J20" s="3">
        <v>2103.7152599999999</v>
      </c>
      <c r="K20" s="3">
        <v>2081.5314899999998</v>
      </c>
      <c r="L20" s="3">
        <v>1273.04423</v>
      </c>
      <c r="M20" s="3">
        <v>1702.8825099999999</v>
      </c>
      <c r="N20" s="3">
        <v>1665.1453899999999</v>
      </c>
      <c r="O20" s="3">
        <v>943.28114500000004</v>
      </c>
      <c r="P20" s="3">
        <v>222.38847799999999</v>
      </c>
      <c r="Q20" s="3">
        <v>2940.4324900000001</v>
      </c>
      <c r="R20" s="3">
        <v>3129.52936</v>
      </c>
      <c r="S20" s="3">
        <v>713.93908599999997</v>
      </c>
      <c r="T20" s="3"/>
      <c r="U20" s="10" t="s">
        <v>21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3"/>
      <c r="AI20" s="10" t="s">
        <v>21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f>SUM(AF18:AF21,AF39:AF42,AF60:AF63)</f>
        <v>44000</v>
      </c>
      <c r="AX20" t="s">
        <v>47</v>
      </c>
      <c r="AY20" s="3">
        <v>44000</v>
      </c>
      <c r="AZ20" s="3" t="s">
        <v>35</v>
      </c>
      <c r="BB20" s="10" t="s">
        <v>21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 s="3" t="s">
        <v>19</v>
      </c>
      <c r="B21" s="3">
        <v>4.7682692299999996</v>
      </c>
      <c r="C21" s="3">
        <v>50.029000000000003</v>
      </c>
      <c r="D21" s="3">
        <v>15.808999999999999</v>
      </c>
      <c r="E21" s="3">
        <v>45000</v>
      </c>
      <c r="F21" s="3"/>
      <c r="G21" s="10" t="s">
        <v>22</v>
      </c>
      <c r="H21" s="3">
        <v>2319.27882</v>
      </c>
      <c r="I21" s="3">
        <v>392.73576100000002</v>
      </c>
      <c r="J21" s="3">
        <v>9.1108617400000007</v>
      </c>
      <c r="K21" s="3">
        <v>2163.5780500000001</v>
      </c>
      <c r="L21" s="3">
        <v>1496.75197</v>
      </c>
      <c r="M21" s="3">
        <v>2453.0090399999999</v>
      </c>
      <c r="N21" s="3">
        <v>2049.0579200000002</v>
      </c>
      <c r="O21" s="3">
        <v>2023.5485900000001</v>
      </c>
      <c r="P21" s="3">
        <v>1874.7082700000001</v>
      </c>
      <c r="Q21" s="3">
        <v>2775.6073999999999</v>
      </c>
      <c r="R21" s="3">
        <v>2849.5451200000002</v>
      </c>
      <c r="S21" s="3">
        <v>2806.9366500000001</v>
      </c>
      <c r="T21" s="3"/>
      <c r="U21" s="10" t="s">
        <v>22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3"/>
      <c r="AI21" s="10" t="s">
        <v>22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W21">
        <f>SUM(AG18:AG21,AG39:AG42,AG60:AG63)</f>
        <v>500</v>
      </c>
      <c r="AX21" t="s">
        <v>47</v>
      </c>
      <c r="AY21" s="3">
        <v>500</v>
      </c>
      <c r="AZ21" s="3" t="s">
        <v>36</v>
      </c>
      <c r="BB21" s="10" t="s">
        <v>22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 s="3" t="s">
        <v>20</v>
      </c>
      <c r="B22" s="3">
        <v>5.6759230799999996</v>
      </c>
      <c r="C22" s="3">
        <v>50.334299999999999</v>
      </c>
      <c r="D22" s="3">
        <v>2.9289999999999998</v>
      </c>
      <c r="E22" s="3">
        <v>150000</v>
      </c>
      <c r="F22" s="3"/>
      <c r="G22" s="3"/>
      <c r="H22" s="4"/>
    </row>
    <row r="23" spans="1:66" x14ac:dyDescent="0.2">
      <c r="A23" s="3" t="s">
        <v>21</v>
      </c>
      <c r="B23" s="3">
        <v>4.42603846</v>
      </c>
      <c r="C23" s="3">
        <v>56.896000000000001</v>
      </c>
      <c r="D23" s="3">
        <v>24.045999999999999</v>
      </c>
      <c r="E23" s="3">
        <v>75000</v>
      </c>
      <c r="F23" s="3"/>
      <c r="G23" s="3"/>
      <c r="H23" s="3"/>
      <c r="AB23" s="1"/>
      <c r="AW23" s="1" t="s">
        <v>48</v>
      </c>
    </row>
    <row r="24" spans="1:66" x14ac:dyDescent="0.2">
      <c r="A24" s="3" t="s">
        <v>22</v>
      </c>
      <c r="B24" s="3">
        <v>7.0865</v>
      </c>
      <c r="C24" s="3">
        <v>38.043999999999997</v>
      </c>
      <c r="D24" s="3">
        <v>23.798999999999999</v>
      </c>
      <c r="E24" s="3">
        <v>100000</v>
      </c>
      <c r="F24" s="3"/>
      <c r="G24" s="1" t="s">
        <v>63</v>
      </c>
      <c r="H24" s="9" t="s">
        <v>8</v>
      </c>
      <c r="I24" s="9" t="s">
        <v>9</v>
      </c>
      <c r="J24" s="9" t="s">
        <v>10</v>
      </c>
      <c r="U24" s="4" t="s">
        <v>63</v>
      </c>
      <c r="V24" s="9" t="s">
        <v>8</v>
      </c>
      <c r="W24" s="9" t="s">
        <v>9</v>
      </c>
      <c r="X24" s="9" t="s">
        <v>10</v>
      </c>
      <c r="AB24" s="1"/>
      <c r="AH24" s="3"/>
      <c r="AI24" s="4" t="s">
        <v>63</v>
      </c>
      <c r="AJ24" s="9" t="s">
        <v>8</v>
      </c>
      <c r="AK24" s="9" t="s">
        <v>9</v>
      </c>
      <c r="AL24" s="9" t="s">
        <v>10</v>
      </c>
      <c r="AW24">
        <f>SUM(V4:V5,V25:V26,V46:V47)</f>
        <v>0</v>
      </c>
      <c r="AX24" t="s">
        <v>47</v>
      </c>
      <c r="AY24">
        <f>SUM(V8:Y8,V29:Y29,V50:Y50)</f>
        <v>0</v>
      </c>
      <c r="AZ24" s="3" t="s">
        <v>8</v>
      </c>
      <c r="BB24" s="4" t="s">
        <v>63</v>
      </c>
      <c r="BC24" s="9" t="s">
        <v>8</v>
      </c>
      <c r="BD24" s="9" t="s">
        <v>9</v>
      </c>
      <c r="BE24" s="9" t="s">
        <v>10</v>
      </c>
    </row>
    <row r="25" spans="1:66" x14ac:dyDescent="0.2">
      <c r="A25" s="3"/>
      <c r="B25" s="3"/>
      <c r="C25" s="3"/>
      <c r="D25" s="3"/>
      <c r="E25" s="3"/>
      <c r="F25" s="3"/>
      <c r="G25" s="25" t="s">
        <v>12</v>
      </c>
      <c r="H25" s="30">
        <v>1E+30</v>
      </c>
      <c r="I25" s="30">
        <v>1E+30</v>
      </c>
      <c r="J25" s="30">
        <v>1E+30</v>
      </c>
      <c r="K25" s="29"/>
      <c r="U25" s="8" t="s">
        <v>12</v>
      </c>
      <c r="V25">
        <v>0</v>
      </c>
      <c r="W25">
        <v>0</v>
      </c>
      <c r="X25">
        <v>0</v>
      </c>
      <c r="AG25" s="3"/>
      <c r="AH25" s="3"/>
      <c r="AI25" s="8" t="s">
        <v>12</v>
      </c>
      <c r="AJ25" s="3">
        <v>0</v>
      </c>
      <c r="AK25" s="3">
        <v>0</v>
      </c>
      <c r="AL25" s="3">
        <v>0</v>
      </c>
      <c r="AW25">
        <f>SUM(W4:W5,W25:W26,W46:W47)</f>
        <v>34534</v>
      </c>
      <c r="AX25" t="s">
        <v>47</v>
      </c>
      <c r="AY25">
        <f>SUM(V9:Y9,V30:Y30,V51:Y51)</f>
        <v>34534</v>
      </c>
      <c r="AZ25" s="3" t="s">
        <v>9</v>
      </c>
      <c r="BB25" s="8" t="s">
        <v>12</v>
      </c>
      <c r="BC25" s="3">
        <v>0</v>
      </c>
      <c r="BD25" s="3">
        <v>0</v>
      </c>
      <c r="BE25" s="3">
        <v>0</v>
      </c>
    </row>
    <row r="26" spans="1:66" x14ac:dyDescent="0.2">
      <c r="A26" s="12" t="s">
        <v>40</v>
      </c>
      <c r="B26" s="3"/>
      <c r="C26" s="3"/>
      <c r="D26" s="3"/>
      <c r="E26" s="3"/>
      <c r="F26" s="3"/>
      <c r="G26" s="25" t="s">
        <v>14</v>
      </c>
      <c r="H26" s="30">
        <v>1E+30</v>
      </c>
      <c r="I26" s="30">
        <v>1E+30</v>
      </c>
      <c r="J26" s="30">
        <v>1E+30</v>
      </c>
      <c r="M26" s="30"/>
      <c r="U26" s="8" t="s">
        <v>14</v>
      </c>
      <c r="V26">
        <v>0</v>
      </c>
      <c r="W26">
        <v>0</v>
      </c>
      <c r="X26">
        <v>0</v>
      </c>
      <c r="AC26" s="3"/>
      <c r="AD26" s="3"/>
      <c r="AE26" s="3"/>
      <c r="AF26" s="3"/>
      <c r="AG26" s="3"/>
      <c r="AH26" s="3"/>
      <c r="AI26" s="8" t="s">
        <v>14</v>
      </c>
      <c r="AJ26" s="3">
        <v>0</v>
      </c>
      <c r="AK26" s="3">
        <v>0</v>
      </c>
      <c r="AL26" s="3">
        <v>0</v>
      </c>
      <c r="AW26">
        <f>SUM(X4:X5,X25:X26,X46:X47)</f>
        <v>0</v>
      </c>
      <c r="AX26" t="s">
        <v>47</v>
      </c>
      <c r="AY26">
        <f>SUM(V10:Y10,V31:Y31,V52:Y52)</f>
        <v>0</v>
      </c>
      <c r="AZ26" s="3" t="s">
        <v>10</v>
      </c>
      <c r="BB26" s="8" t="s">
        <v>14</v>
      </c>
      <c r="BC26" s="3">
        <v>0</v>
      </c>
      <c r="BD26" s="3">
        <v>0</v>
      </c>
      <c r="BE26" s="3">
        <v>0</v>
      </c>
    </row>
    <row r="27" spans="1:66" x14ac:dyDescent="0.2">
      <c r="A27" s="3" t="s">
        <v>15</v>
      </c>
      <c r="B27" s="3" t="s">
        <v>3</v>
      </c>
      <c r="C27" s="3" t="s">
        <v>17</v>
      </c>
      <c r="D27" s="3" t="s">
        <v>18</v>
      </c>
      <c r="E27" s="3"/>
      <c r="F27" s="3"/>
      <c r="U27" s="2"/>
      <c r="V27" s="2"/>
      <c r="W27" s="2"/>
      <c r="X27" s="2"/>
      <c r="Y27" s="2"/>
      <c r="Z27" s="2"/>
      <c r="AC27" s="2"/>
      <c r="AD27" s="2"/>
      <c r="AE27" s="2"/>
      <c r="AF27" s="2"/>
      <c r="AG27" s="2"/>
      <c r="AI27" s="2"/>
      <c r="AW27">
        <f>SUM(V8:V15,V29:V36,V50:V57)</f>
        <v>25000</v>
      </c>
      <c r="AX27" t="s">
        <v>47</v>
      </c>
      <c r="AY27">
        <f>SUM(V18:AG18,V39:AG39,V60:AG60)</f>
        <v>25000</v>
      </c>
      <c r="AZ27" t="s">
        <v>19</v>
      </c>
      <c r="BB27" s="2"/>
    </row>
    <row r="28" spans="1:66" x14ac:dyDescent="0.2">
      <c r="A28" s="3" t="s">
        <v>25</v>
      </c>
      <c r="B28" s="3">
        <v>7000</v>
      </c>
      <c r="C28" s="3">
        <v>47.9556915</v>
      </c>
      <c r="D28" s="3">
        <v>-1.495366</v>
      </c>
      <c r="E28" s="3"/>
      <c r="F28" s="3"/>
      <c r="G28" s="1" t="s">
        <v>63</v>
      </c>
      <c r="H28" s="10" t="s">
        <v>19</v>
      </c>
      <c r="I28" s="10" t="s">
        <v>20</v>
      </c>
      <c r="J28" s="10" t="s">
        <v>21</v>
      </c>
      <c r="K28" s="10" t="s">
        <v>22</v>
      </c>
      <c r="U28" s="1" t="s">
        <v>63</v>
      </c>
      <c r="V28" s="10" t="s">
        <v>19</v>
      </c>
      <c r="W28" s="10" t="s">
        <v>20</v>
      </c>
      <c r="X28" s="10" t="s">
        <v>21</v>
      </c>
      <c r="Y28" s="10" t="s">
        <v>22</v>
      </c>
      <c r="AI28" s="1" t="s">
        <v>63</v>
      </c>
      <c r="AJ28" s="10" t="s">
        <v>19</v>
      </c>
      <c r="AK28" s="10" t="s">
        <v>20</v>
      </c>
      <c r="AL28" s="10" t="s">
        <v>21</v>
      </c>
      <c r="AM28" s="10" t="s">
        <v>22</v>
      </c>
      <c r="AW28">
        <f>SUM(W8:W15,W29:W36,W50:W57)</f>
        <v>54500</v>
      </c>
      <c r="AX28" t="s">
        <v>47</v>
      </c>
      <c r="AY28">
        <f>SUM(V19:AG19,V40:AG40,V61:AG61)</f>
        <v>54500</v>
      </c>
      <c r="AZ28" t="s">
        <v>20</v>
      </c>
      <c r="BB28" s="1" t="s">
        <v>63</v>
      </c>
      <c r="BC28" s="10" t="s">
        <v>19</v>
      </c>
      <c r="BD28" s="10" t="s">
        <v>20</v>
      </c>
      <c r="BE28" s="10" t="s">
        <v>21</v>
      </c>
      <c r="BF28" s="10" t="s">
        <v>22</v>
      </c>
    </row>
    <row r="29" spans="1:66" x14ac:dyDescent="0.2">
      <c r="A29" s="3" t="s">
        <v>26</v>
      </c>
      <c r="B29" s="3">
        <v>6000</v>
      </c>
      <c r="C29" s="3">
        <v>35.773417600000002</v>
      </c>
      <c r="D29" s="3">
        <v>27.1814307</v>
      </c>
      <c r="E29" s="3"/>
      <c r="F29" s="3"/>
      <c r="G29" s="27" t="s">
        <v>8</v>
      </c>
      <c r="H29">
        <v>283.57459999999998</v>
      </c>
      <c r="I29">
        <v>1286.4165</v>
      </c>
      <c r="J29">
        <v>1362.1052</v>
      </c>
      <c r="K29">
        <v>1682.0897</v>
      </c>
      <c r="U29" s="9" t="s">
        <v>8</v>
      </c>
      <c r="V29" s="15">
        <v>0</v>
      </c>
      <c r="W29" s="15">
        <v>0</v>
      </c>
      <c r="X29" s="15">
        <v>0</v>
      </c>
      <c r="Y29" s="15">
        <v>0</v>
      </c>
      <c r="AI29" s="9" t="s">
        <v>8</v>
      </c>
      <c r="AJ29" cm="1">
        <f t="array" ref="AJ29:AM31">(D5*H29:K31+B15:B17)*V29:Y31</f>
        <v>0</v>
      </c>
      <c r="AK29">
        <v>0</v>
      </c>
      <c r="AL29">
        <v>0</v>
      </c>
      <c r="AM29">
        <v>0</v>
      </c>
      <c r="AW29">
        <f>SUM(X8:X15,X29:X36,X50:X57)</f>
        <v>60000</v>
      </c>
      <c r="AX29" t="s">
        <v>47</v>
      </c>
      <c r="AY29">
        <f>SUM(V20:AG20,V41:AG41,V62:AG62)</f>
        <v>60000</v>
      </c>
      <c r="AZ29" t="s">
        <v>21</v>
      </c>
      <c r="BB29" s="9" t="s">
        <v>8</v>
      </c>
      <c r="BC29" cm="1">
        <f t="array" ref="BC29:BF36">H29:K36*(V29:Y36/B7)*73</f>
        <v>0</v>
      </c>
      <c r="BD29">
        <v>0</v>
      </c>
      <c r="BE29">
        <v>0</v>
      </c>
      <c r="BF29">
        <v>0</v>
      </c>
    </row>
    <row r="30" spans="1:66" x14ac:dyDescent="0.2">
      <c r="A30" s="3" t="s">
        <v>27</v>
      </c>
      <c r="B30" s="3">
        <v>114500</v>
      </c>
      <c r="C30" s="3">
        <v>37.983941199999997</v>
      </c>
      <c r="D30" s="3">
        <v>23.728305200000001</v>
      </c>
      <c r="E30" s="3"/>
      <c r="F30" s="3"/>
      <c r="G30" s="27" t="s">
        <v>9</v>
      </c>
      <c r="H30">
        <v>655.22719999999902</v>
      </c>
      <c r="I30">
        <v>1426.5703000000001</v>
      </c>
      <c r="J30">
        <v>540.0489</v>
      </c>
      <c r="K30">
        <v>2539.2773999999999</v>
      </c>
      <c r="U30" s="9" t="s">
        <v>9</v>
      </c>
      <c r="V30" s="15">
        <v>0</v>
      </c>
      <c r="W30" s="15">
        <v>34534</v>
      </c>
      <c r="X30" s="15">
        <v>0</v>
      </c>
      <c r="Y30" s="15">
        <v>0</v>
      </c>
      <c r="AI30" s="9" t="s">
        <v>9</v>
      </c>
      <c r="AJ30">
        <v>0</v>
      </c>
      <c r="AK30">
        <v>1108999.2251290192</v>
      </c>
      <c r="AL30">
        <v>0</v>
      </c>
      <c r="AM30">
        <v>0</v>
      </c>
      <c r="AW30">
        <f>SUM(Y8:Y15,Y29:Y36,Y50:Y57)</f>
        <v>95000</v>
      </c>
      <c r="AX30" t="s">
        <v>47</v>
      </c>
      <c r="AY30">
        <f>SUM(V21:AG21,V42:AG42,V63:AG63)</f>
        <v>95000</v>
      </c>
      <c r="AZ30" t="s">
        <v>22</v>
      </c>
      <c r="BB30" s="9" t="s">
        <v>9</v>
      </c>
      <c r="BC30">
        <v>0</v>
      </c>
      <c r="BD30">
        <v>9458421.6663309969</v>
      </c>
      <c r="BE30">
        <v>0</v>
      </c>
      <c r="BF30">
        <v>0</v>
      </c>
    </row>
    <row r="31" spans="1:66" x14ac:dyDescent="0.2">
      <c r="A31" s="3" t="s">
        <v>28</v>
      </c>
      <c r="B31" s="3">
        <v>3000</v>
      </c>
      <c r="C31" s="3">
        <v>45.747956299999998</v>
      </c>
      <c r="D31" s="3">
        <v>-0.33856140000000001</v>
      </c>
      <c r="E31" s="3"/>
      <c r="F31" s="3"/>
      <c r="G31" s="27" t="s">
        <v>10</v>
      </c>
      <c r="H31">
        <v>1152.3353999999999</v>
      </c>
      <c r="I31">
        <v>157.0652</v>
      </c>
      <c r="J31">
        <v>2094.0954999999999</v>
      </c>
      <c r="K31">
        <v>2889.6354999999999</v>
      </c>
      <c r="U31" s="9" t="s">
        <v>10</v>
      </c>
      <c r="V31" s="15">
        <v>0</v>
      </c>
      <c r="W31" s="15">
        <v>0</v>
      </c>
      <c r="X31" s="15">
        <v>0</v>
      </c>
      <c r="Y31" s="15">
        <v>0</v>
      </c>
      <c r="AI31" s="9" t="s">
        <v>10</v>
      </c>
      <c r="AJ31">
        <v>0</v>
      </c>
      <c r="AK31">
        <v>0</v>
      </c>
      <c r="AL31">
        <v>0</v>
      </c>
      <c r="AM31">
        <v>0</v>
      </c>
      <c r="BB31" s="9" t="s">
        <v>10</v>
      </c>
      <c r="BC31">
        <v>0</v>
      </c>
      <c r="BD31">
        <v>0</v>
      </c>
      <c r="BE31">
        <v>0</v>
      </c>
      <c r="BF31">
        <v>0</v>
      </c>
    </row>
    <row r="32" spans="1:66" x14ac:dyDescent="0.2">
      <c r="A32" s="3" t="s">
        <v>29</v>
      </c>
      <c r="B32" s="3">
        <v>16500</v>
      </c>
      <c r="C32" s="3">
        <v>48.224243399999999</v>
      </c>
      <c r="D32" s="3">
        <v>11.6715263</v>
      </c>
      <c r="E32" s="3"/>
      <c r="F32" s="3"/>
      <c r="G32" s="21" t="s">
        <v>53</v>
      </c>
      <c r="H32">
        <v>120.673</v>
      </c>
      <c r="I32">
        <v>1055.277</v>
      </c>
      <c r="J32">
        <v>1292.3728999999901</v>
      </c>
      <c r="K32">
        <v>1979.7137</v>
      </c>
      <c r="U32" s="21" t="s">
        <v>53</v>
      </c>
      <c r="V32" s="15">
        <v>25000</v>
      </c>
      <c r="W32" s="15">
        <v>0</v>
      </c>
      <c r="X32" s="15">
        <v>0</v>
      </c>
      <c r="Y32" s="15">
        <v>0</v>
      </c>
      <c r="AI32" s="21" t="s">
        <v>53</v>
      </c>
      <c r="AJ32" cm="1">
        <f t="array" ref="AJ32:AM36">(D5*H32:K36+AD11:AD15)*V32:Y36</f>
        <v>178019.73414999997</v>
      </c>
      <c r="AK32">
        <v>0</v>
      </c>
      <c r="AL32">
        <v>0</v>
      </c>
      <c r="AM32">
        <v>0</v>
      </c>
      <c r="AW32" s="1" t="s">
        <v>59</v>
      </c>
      <c r="BB32" s="21" t="s">
        <v>53</v>
      </c>
      <c r="BC32">
        <v>579200.23174999992</v>
      </c>
      <c r="BD32">
        <v>0</v>
      </c>
      <c r="BE32">
        <v>0</v>
      </c>
      <c r="BF32">
        <v>0</v>
      </c>
    </row>
    <row r="33" spans="1:66" x14ac:dyDescent="0.2">
      <c r="A33" s="3" t="s">
        <v>30</v>
      </c>
      <c r="B33" s="3">
        <v>6500</v>
      </c>
      <c r="C33" s="3">
        <v>51.783499399999997</v>
      </c>
      <c r="D33" s="3">
        <v>-0.89464410000000005</v>
      </c>
      <c r="E33" s="3"/>
      <c r="F33" s="3"/>
      <c r="G33" s="21" t="s">
        <v>54</v>
      </c>
      <c r="H33">
        <v>464.79500000000002</v>
      </c>
      <c r="I33">
        <v>1511.2248</v>
      </c>
      <c r="J33">
        <v>1538.9049</v>
      </c>
      <c r="K33">
        <v>1461.1261999999999</v>
      </c>
      <c r="U33" s="21" t="s">
        <v>54</v>
      </c>
      <c r="V33" s="15">
        <v>0</v>
      </c>
      <c r="W33" s="15">
        <v>0</v>
      </c>
      <c r="X33" s="15">
        <v>0</v>
      </c>
      <c r="Y33" s="15">
        <v>50000</v>
      </c>
      <c r="AG33" s="3"/>
      <c r="AI33" s="21" t="s">
        <v>54</v>
      </c>
      <c r="AJ33">
        <v>0</v>
      </c>
      <c r="AK33">
        <v>0</v>
      </c>
      <c r="AL33">
        <v>0</v>
      </c>
      <c r="AM33">
        <v>1659713.5327000001</v>
      </c>
      <c r="AW33" s="1" t="s">
        <v>60</v>
      </c>
      <c r="BB33" s="21" t="s">
        <v>54</v>
      </c>
      <c r="BC33">
        <v>0</v>
      </c>
      <c r="BD33">
        <v>0</v>
      </c>
      <c r="BE33">
        <v>0</v>
      </c>
      <c r="BF33">
        <v>14026080.956899997</v>
      </c>
    </row>
    <row r="34" spans="1:66" x14ac:dyDescent="0.2">
      <c r="A34" s="3" t="s">
        <v>31</v>
      </c>
      <c r="B34" s="3">
        <v>500</v>
      </c>
      <c r="C34" s="3">
        <v>48.785892099999998</v>
      </c>
      <c r="D34" s="3">
        <v>3.0292059</v>
      </c>
      <c r="E34" s="3"/>
      <c r="F34" s="3"/>
      <c r="G34" s="21" t="s">
        <v>55</v>
      </c>
      <c r="H34">
        <v>1957.3381999999999</v>
      </c>
      <c r="I34">
        <v>855.08460000000002</v>
      </c>
      <c r="J34">
        <v>2735.1374000000001</v>
      </c>
      <c r="K34">
        <v>3703.6586000000002</v>
      </c>
      <c r="U34" s="21" t="s">
        <v>55</v>
      </c>
      <c r="V34" s="15">
        <v>0</v>
      </c>
      <c r="W34" s="15">
        <v>19966</v>
      </c>
      <c r="X34" s="15">
        <v>0</v>
      </c>
      <c r="Y34" s="15">
        <v>0</v>
      </c>
      <c r="AG34" s="3"/>
      <c r="AI34" s="21" t="s">
        <v>55</v>
      </c>
      <c r="AJ34">
        <v>0</v>
      </c>
      <c r="AK34">
        <v>491087.36919305398</v>
      </c>
      <c r="AL34">
        <v>0</v>
      </c>
      <c r="AM34">
        <v>0</v>
      </c>
      <c r="AW34">
        <f>SUM(V11:Y11,V32:Y32,V53:Y53)</f>
        <v>25000</v>
      </c>
      <c r="AX34" t="s">
        <v>44</v>
      </c>
      <c r="AY34" cm="1">
        <f t="array" ref="AY34:AY38">AF11:AF15</f>
        <v>25000</v>
      </c>
      <c r="AZ34" t="s">
        <v>53</v>
      </c>
      <c r="BB34" s="21" t="s">
        <v>55</v>
      </c>
      <c r="BC34">
        <v>0</v>
      </c>
      <c r="BD34">
        <v>3277772.1455399636</v>
      </c>
      <c r="BE34">
        <v>0</v>
      </c>
      <c r="BF34">
        <v>0</v>
      </c>
    </row>
    <row r="35" spans="1:66" x14ac:dyDescent="0.2">
      <c r="A35" s="3" t="s">
        <v>32</v>
      </c>
      <c r="B35" s="3">
        <v>22000</v>
      </c>
      <c r="C35" s="3">
        <v>53.6736529</v>
      </c>
      <c r="D35" s="3">
        <v>10.2358999</v>
      </c>
      <c r="E35" s="3"/>
      <c r="F35" s="3"/>
      <c r="G35" s="21" t="s">
        <v>56</v>
      </c>
      <c r="H35">
        <v>1615.0483999999999</v>
      </c>
      <c r="I35">
        <v>3579.8420000000001</v>
      </c>
      <c r="J35">
        <v>406.91469999999998</v>
      </c>
      <c r="K35">
        <v>3392.9079999999999</v>
      </c>
      <c r="U35" s="21" t="s">
        <v>56</v>
      </c>
      <c r="V35" s="15">
        <v>0</v>
      </c>
      <c r="W35" s="15">
        <v>0</v>
      </c>
      <c r="X35" s="15">
        <v>60000</v>
      </c>
      <c r="Y35" s="15">
        <v>0</v>
      </c>
      <c r="AI35" s="21" t="s">
        <v>56</v>
      </c>
      <c r="AJ35">
        <v>0</v>
      </c>
      <c r="AK35">
        <v>0</v>
      </c>
      <c r="AL35">
        <v>766446.58610999992</v>
      </c>
      <c r="AM35">
        <v>0</v>
      </c>
      <c r="AW35">
        <f>SUM(V12:Y12,V33:Y33,V54:Y54)</f>
        <v>50000</v>
      </c>
      <c r="AX35" t="s">
        <v>44</v>
      </c>
      <c r="AY35">
        <v>50000</v>
      </c>
      <c r="AZ35" t="s">
        <v>54</v>
      </c>
      <c r="BB35" s="21" t="s">
        <v>56</v>
      </c>
      <c r="BC35">
        <v>0</v>
      </c>
      <c r="BD35">
        <v>0</v>
      </c>
      <c r="BE35">
        <v>4687413.1951799998</v>
      </c>
      <c r="BF35">
        <v>0</v>
      </c>
    </row>
    <row r="36" spans="1:66" x14ac:dyDescent="0.2">
      <c r="A36" s="3" t="s">
        <v>33</v>
      </c>
      <c r="B36" s="3">
        <v>13000</v>
      </c>
      <c r="C36" s="3">
        <v>54.898213900000002</v>
      </c>
      <c r="D36" s="3">
        <v>23.904481700000002</v>
      </c>
      <c r="E36" s="3"/>
      <c r="F36" s="3"/>
      <c r="G36" s="21" t="s">
        <v>57</v>
      </c>
      <c r="H36">
        <v>559.99469999999997</v>
      </c>
      <c r="I36">
        <v>1426.7084</v>
      </c>
      <c r="J36">
        <v>664.62980000000005</v>
      </c>
      <c r="K36">
        <v>2312.9658999999901</v>
      </c>
      <c r="U36" s="21" t="s">
        <v>57</v>
      </c>
      <c r="V36" s="15">
        <v>0</v>
      </c>
      <c r="W36" s="15">
        <v>0</v>
      </c>
      <c r="X36" s="15">
        <v>0</v>
      </c>
      <c r="Y36" s="15">
        <v>45000</v>
      </c>
      <c r="AI36" s="21" t="s">
        <v>57</v>
      </c>
      <c r="AJ36">
        <v>0</v>
      </c>
      <c r="AK36">
        <v>0</v>
      </c>
      <c r="AL36">
        <v>0</v>
      </c>
      <c r="AM36">
        <v>2222709.275317491</v>
      </c>
      <c r="AW36">
        <f>SUM(V13:Y13,V34:Y34,V55:Y55)</f>
        <v>19966</v>
      </c>
      <c r="AX36" t="s">
        <v>44</v>
      </c>
      <c r="AY36">
        <v>20000</v>
      </c>
      <c r="AZ36" t="s">
        <v>55</v>
      </c>
      <c r="BB36" s="21" t="s">
        <v>57</v>
      </c>
      <c r="BC36">
        <v>0</v>
      </c>
      <c r="BD36">
        <v>0</v>
      </c>
      <c r="BE36">
        <v>0</v>
      </c>
      <c r="BF36">
        <v>19982984.541344911</v>
      </c>
    </row>
    <row r="37" spans="1:66" x14ac:dyDescent="0.2">
      <c r="A37" s="3" t="s">
        <v>34</v>
      </c>
      <c r="B37" s="3">
        <v>1000</v>
      </c>
      <c r="C37" s="3">
        <v>40.713449099999998</v>
      </c>
      <c r="D37" s="3">
        <v>-8.4825639000000006</v>
      </c>
      <c r="E37" s="3"/>
      <c r="F37" s="3"/>
      <c r="T37" s="1"/>
      <c r="AW37">
        <f>SUM(V14:Y14,V35:Y35,V56:Y56)</f>
        <v>60000</v>
      </c>
      <c r="AX37" t="s">
        <v>44</v>
      </c>
      <c r="AY37">
        <v>60000</v>
      </c>
      <c r="AZ37" t="s">
        <v>56</v>
      </c>
    </row>
    <row r="38" spans="1:66" x14ac:dyDescent="0.2">
      <c r="A38" s="3" t="s">
        <v>35</v>
      </c>
      <c r="B38" s="3">
        <v>44000</v>
      </c>
      <c r="C38" s="3">
        <v>38.8735511</v>
      </c>
      <c r="D38" s="3">
        <v>-9.0785503999999992</v>
      </c>
      <c r="E38" s="3"/>
      <c r="F38" s="3"/>
      <c r="G38" s="1" t="s">
        <v>63</v>
      </c>
      <c r="H38" s="11" t="s">
        <v>25</v>
      </c>
      <c r="I38" s="11" t="s">
        <v>26</v>
      </c>
      <c r="J38" s="11" t="s">
        <v>27</v>
      </c>
      <c r="K38" s="11" t="s">
        <v>28</v>
      </c>
      <c r="L38" s="11" t="s">
        <v>29</v>
      </c>
      <c r="M38" s="11" t="s">
        <v>30</v>
      </c>
      <c r="N38" s="11" t="s">
        <v>31</v>
      </c>
      <c r="O38" s="11" t="s">
        <v>32</v>
      </c>
      <c r="P38" s="11" t="s">
        <v>33</v>
      </c>
      <c r="Q38" s="11" t="s">
        <v>34</v>
      </c>
      <c r="R38" s="11" t="s">
        <v>35</v>
      </c>
      <c r="S38" s="11" t="s">
        <v>36</v>
      </c>
      <c r="T38" s="1"/>
      <c r="U38" s="1" t="s">
        <v>63</v>
      </c>
      <c r="V38" s="11" t="s">
        <v>25</v>
      </c>
      <c r="W38" s="11" t="s">
        <v>26</v>
      </c>
      <c r="X38" s="11" t="s">
        <v>27</v>
      </c>
      <c r="Y38" s="11" t="s">
        <v>28</v>
      </c>
      <c r="Z38" s="11" t="s">
        <v>29</v>
      </c>
      <c r="AA38" s="11" t="s">
        <v>30</v>
      </c>
      <c r="AB38" s="11" t="s">
        <v>31</v>
      </c>
      <c r="AC38" s="11" t="s">
        <v>32</v>
      </c>
      <c r="AD38" s="11" t="s">
        <v>33</v>
      </c>
      <c r="AE38" s="11" t="s">
        <v>34</v>
      </c>
      <c r="AF38" s="11" t="s">
        <v>35</v>
      </c>
      <c r="AG38" s="11" t="s">
        <v>36</v>
      </c>
      <c r="AI38" s="1" t="s">
        <v>63</v>
      </c>
      <c r="AJ38" s="11" t="s">
        <v>25</v>
      </c>
      <c r="AK38" s="11" t="s">
        <v>26</v>
      </c>
      <c r="AL38" s="11" t="s">
        <v>27</v>
      </c>
      <c r="AM38" s="11" t="s">
        <v>28</v>
      </c>
      <c r="AN38" s="11" t="s">
        <v>29</v>
      </c>
      <c r="AO38" s="11" t="s">
        <v>30</v>
      </c>
      <c r="AP38" s="11" t="s">
        <v>31</v>
      </c>
      <c r="AQ38" s="11" t="s">
        <v>32</v>
      </c>
      <c r="AR38" s="11" t="s">
        <v>33</v>
      </c>
      <c r="AS38" s="11" t="s">
        <v>34</v>
      </c>
      <c r="AT38" s="11" t="s">
        <v>35</v>
      </c>
      <c r="AU38" s="11" t="s">
        <v>36</v>
      </c>
      <c r="AW38">
        <f>SUM(V15:Y15,V36:Y36,V57:Y57)</f>
        <v>45000</v>
      </c>
      <c r="AX38" t="s">
        <v>44</v>
      </c>
      <c r="AY38">
        <v>45000</v>
      </c>
      <c r="AZ38" t="s">
        <v>57</v>
      </c>
      <c r="BB38" s="1" t="s">
        <v>63</v>
      </c>
      <c r="BC38" s="11" t="s">
        <v>25</v>
      </c>
      <c r="BD38" s="11" t="s">
        <v>26</v>
      </c>
      <c r="BE38" s="11" t="s">
        <v>27</v>
      </c>
      <c r="BF38" s="11" t="s">
        <v>28</v>
      </c>
      <c r="BG38" s="11" t="s">
        <v>29</v>
      </c>
      <c r="BH38" s="11" t="s">
        <v>30</v>
      </c>
      <c r="BI38" s="11" t="s">
        <v>31</v>
      </c>
      <c r="BJ38" s="11" t="s">
        <v>32</v>
      </c>
      <c r="BK38" s="11" t="s">
        <v>33</v>
      </c>
      <c r="BL38" s="11" t="s">
        <v>34</v>
      </c>
      <c r="BM38" s="11" t="s">
        <v>35</v>
      </c>
      <c r="BN38" s="11" t="s">
        <v>36</v>
      </c>
    </row>
    <row r="39" spans="1:66" x14ac:dyDescent="0.2">
      <c r="A39" s="3" t="s">
        <v>36</v>
      </c>
      <c r="B39" s="3">
        <v>500</v>
      </c>
      <c r="C39" s="3">
        <v>63.246777700000003</v>
      </c>
      <c r="D39" s="3">
        <v>25.920916399999999</v>
      </c>
      <c r="E39" s="3"/>
      <c r="F39" s="3"/>
      <c r="G39" s="28" t="s">
        <v>19</v>
      </c>
      <c r="H39">
        <v>1490.4829</v>
      </c>
      <c r="I39">
        <v>2651.3577999999902</v>
      </c>
      <c r="J39">
        <v>1926.7511</v>
      </c>
      <c r="K39">
        <v>1629.3367000000001</v>
      </c>
      <c r="L39">
        <v>499.1123</v>
      </c>
      <c r="M39">
        <v>1476.8573999999901</v>
      </c>
      <c r="N39">
        <v>1126.5368000000001</v>
      </c>
      <c r="O39">
        <v>757.14750000000004</v>
      </c>
      <c r="P39">
        <v>957.81029999999998</v>
      </c>
      <c r="Q39">
        <v>2655.6288999999902</v>
      </c>
      <c r="R39">
        <v>2815.5151999999998</v>
      </c>
      <c r="S39">
        <v>3241.7808999999902</v>
      </c>
      <c r="U39" s="10" t="s">
        <v>19</v>
      </c>
      <c r="V39" s="15">
        <v>0</v>
      </c>
      <c r="W39" s="15">
        <v>0</v>
      </c>
      <c r="X39" s="15">
        <v>8500</v>
      </c>
      <c r="Y39" s="15">
        <v>0</v>
      </c>
      <c r="Z39" s="15">
        <v>16500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I39" s="10" t="s">
        <v>19</v>
      </c>
      <c r="AJ39" cm="1">
        <f t="array" ref="AJ39:AU42">(D5*H39:S42+B21:B24)*V39:AG42</f>
        <v>0</v>
      </c>
      <c r="AK39">
        <v>0</v>
      </c>
      <c r="AL39">
        <v>359807.39635825</v>
      </c>
      <c r="AM39">
        <v>0</v>
      </c>
      <c r="AN39">
        <v>239224.64805525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BB39" s="10" t="s">
        <v>19</v>
      </c>
      <c r="BC39" cm="1">
        <f t="array" ref="BC39:BN42">H39:S42*(V39:AG42/B7)*73</f>
        <v>0</v>
      </c>
      <c r="BD39">
        <v>0</v>
      </c>
      <c r="BE39">
        <v>3144294.0213564998</v>
      </c>
      <c r="BF39">
        <v>0</v>
      </c>
      <c r="BG39">
        <v>1581105.4128705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 s="3"/>
      <c r="B40" s="3"/>
      <c r="C40" s="3"/>
      <c r="D40" s="3"/>
      <c r="E40" s="3"/>
      <c r="F40" s="3"/>
      <c r="G40" s="28" t="s">
        <v>20</v>
      </c>
      <c r="H40">
        <v>522.65139999999997</v>
      </c>
      <c r="I40">
        <v>3650.8874000000001</v>
      </c>
      <c r="J40">
        <v>2926.2808</v>
      </c>
      <c r="K40">
        <v>661.50519999999995</v>
      </c>
      <c r="L40">
        <v>862.62419999999997</v>
      </c>
      <c r="M40">
        <v>376.52109999999999</v>
      </c>
      <c r="N40">
        <v>198.95500000000001</v>
      </c>
      <c r="O40">
        <v>737.48379999999997</v>
      </c>
      <c r="P40">
        <v>1843.174</v>
      </c>
      <c r="Q40">
        <v>1741.4002</v>
      </c>
      <c r="R40">
        <v>1901.2865999999999</v>
      </c>
      <c r="S40">
        <v>3197.3615</v>
      </c>
      <c r="U40" s="10" t="s">
        <v>20</v>
      </c>
      <c r="V40" s="15">
        <v>7000</v>
      </c>
      <c r="W40" s="15">
        <v>0</v>
      </c>
      <c r="X40" s="15">
        <v>0</v>
      </c>
      <c r="Y40" s="15">
        <v>2000</v>
      </c>
      <c r="Z40" s="15">
        <v>0</v>
      </c>
      <c r="AA40" s="15">
        <v>0</v>
      </c>
      <c r="AB40" s="15">
        <v>500</v>
      </c>
      <c r="AC40" s="15">
        <v>0</v>
      </c>
      <c r="AD40" s="15">
        <v>0</v>
      </c>
      <c r="AE40" s="15">
        <v>1000</v>
      </c>
      <c r="AF40" s="15">
        <v>44000</v>
      </c>
      <c r="AG40" s="15">
        <v>0</v>
      </c>
      <c r="AI40" s="10" t="s">
        <v>20</v>
      </c>
      <c r="AJ40">
        <v>111055.084861</v>
      </c>
      <c r="AK40">
        <v>0</v>
      </c>
      <c r="AL40">
        <v>0</v>
      </c>
      <c r="AM40">
        <v>37143.933907999992</v>
      </c>
      <c r="AN40">
        <v>0</v>
      </c>
      <c r="AO40">
        <v>0</v>
      </c>
      <c r="AP40">
        <v>4777.2754025000004</v>
      </c>
      <c r="AQ40">
        <v>0</v>
      </c>
      <c r="AR40">
        <v>0</v>
      </c>
      <c r="AS40">
        <v>39624.51997899999</v>
      </c>
      <c r="AT40">
        <v>1880626.2352679998</v>
      </c>
      <c r="AU40">
        <v>0</v>
      </c>
      <c r="AW40" s="1" t="s">
        <v>169</v>
      </c>
      <c r="BB40" s="10" t="s">
        <v>20</v>
      </c>
      <c r="BC40">
        <v>702406.89600199973</v>
      </c>
      <c r="BD40">
        <v>0</v>
      </c>
      <c r="BE40">
        <v>0</v>
      </c>
      <c r="BF40">
        <v>254004.76669599995</v>
      </c>
      <c r="BG40">
        <v>0</v>
      </c>
      <c r="BH40">
        <v>0</v>
      </c>
      <c r="BI40">
        <v>19098.685225000001</v>
      </c>
      <c r="BJ40">
        <v>0</v>
      </c>
      <c r="BK40">
        <v>0</v>
      </c>
      <c r="BL40">
        <v>334331.424398</v>
      </c>
      <c r="BM40">
        <v>16061232.630695997</v>
      </c>
      <c r="BN40">
        <v>0</v>
      </c>
    </row>
    <row r="41" spans="1:66" x14ac:dyDescent="0.2">
      <c r="A41" s="3"/>
      <c r="B41" s="3"/>
      <c r="C41" s="3"/>
      <c r="D41" s="3"/>
      <c r="E41" s="3"/>
      <c r="F41" s="3"/>
      <c r="G41" s="28" t="s">
        <v>21</v>
      </c>
      <c r="H41">
        <v>2425.3516</v>
      </c>
      <c r="I41">
        <v>3725.5347999999999</v>
      </c>
      <c r="J41">
        <v>3000.9281999999998</v>
      </c>
      <c r="K41">
        <v>2564.2053999999998</v>
      </c>
      <c r="L41">
        <v>1607.6742999999999</v>
      </c>
      <c r="M41">
        <v>2224.5360000000001</v>
      </c>
      <c r="N41">
        <v>2112.6426000000001</v>
      </c>
      <c r="O41">
        <v>1340.1551999999999</v>
      </c>
      <c r="P41">
        <v>259.6909</v>
      </c>
      <c r="Q41">
        <v>3644.1003999999998</v>
      </c>
      <c r="R41">
        <v>3803.9867999999901</v>
      </c>
      <c r="S41">
        <v>809.4239</v>
      </c>
      <c r="U41" s="10" t="s">
        <v>21</v>
      </c>
      <c r="V41" s="15">
        <v>0</v>
      </c>
      <c r="W41" s="15">
        <v>6000</v>
      </c>
      <c r="X41" s="15">
        <v>11000</v>
      </c>
      <c r="Y41" s="15">
        <v>1000</v>
      </c>
      <c r="Z41" s="15">
        <v>0</v>
      </c>
      <c r="AA41" s="15">
        <v>6500</v>
      </c>
      <c r="AB41" s="15">
        <v>0</v>
      </c>
      <c r="AC41" s="15">
        <v>22000</v>
      </c>
      <c r="AD41" s="15">
        <v>13000</v>
      </c>
      <c r="AE41" s="15">
        <v>0</v>
      </c>
      <c r="AF41" s="15">
        <v>0</v>
      </c>
      <c r="AG41" s="15">
        <v>500</v>
      </c>
      <c r="AI41" s="10" t="s">
        <v>21</v>
      </c>
      <c r="AJ41">
        <v>0</v>
      </c>
      <c r="AK41">
        <v>462332.03631599998</v>
      </c>
      <c r="AL41">
        <v>692220.47090899991</v>
      </c>
      <c r="AM41">
        <v>54415.222732999995</v>
      </c>
      <c r="AN41">
        <v>0</v>
      </c>
      <c r="AO41">
        <v>310656.89056999999</v>
      </c>
      <c r="AP41">
        <v>0</v>
      </c>
      <c r="AQ41">
        <v>672152.0098479999</v>
      </c>
      <c r="AR41">
        <v>123353.26322149999</v>
      </c>
      <c r="AS41">
        <v>0</v>
      </c>
      <c r="AT41">
        <v>0</v>
      </c>
      <c r="AU41">
        <v>10102.87869525</v>
      </c>
      <c r="AW41">
        <f>SUM(V11:Y11,V32:Y32,V53:Y53) -60000*AB11</f>
        <v>-35000</v>
      </c>
      <c r="AX41" t="s">
        <v>44</v>
      </c>
      <c r="AY41">
        <v>0</v>
      </c>
      <c r="AZ41" t="s">
        <v>53</v>
      </c>
      <c r="BB41" s="10" t="s">
        <v>21</v>
      </c>
      <c r="BC41">
        <v>0</v>
      </c>
      <c r="BD41">
        <v>4291592.5575119993</v>
      </c>
      <c r="BE41">
        <v>6337630.2562979991</v>
      </c>
      <c r="BF41">
        <v>492301.79474599991</v>
      </c>
      <c r="BG41">
        <v>0</v>
      </c>
      <c r="BH41">
        <v>2776076.3331599999</v>
      </c>
      <c r="BI41">
        <v>0</v>
      </c>
      <c r="BJ41">
        <v>5660520.7306559989</v>
      </c>
      <c r="BK41">
        <v>648154.72658299992</v>
      </c>
      <c r="BL41">
        <v>0</v>
      </c>
      <c r="BM41">
        <v>0</v>
      </c>
      <c r="BN41">
        <v>77700.647280500008</v>
      </c>
    </row>
    <row r="42" spans="1:66" x14ac:dyDescent="0.2">
      <c r="A42" s="3"/>
      <c r="B42" s="3"/>
      <c r="C42" s="3"/>
      <c r="D42" s="3"/>
      <c r="E42" s="3"/>
      <c r="F42" s="3"/>
      <c r="G42" s="28" t="s">
        <v>22</v>
      </c>
      <c r="H42">
        <v>3220.6667000000002</v>
      </c>
      <c r="I42">
        <v>1847.1787999999999</v>
      </c>
      <c r="J42">
        <v>11.972099999999999</v>
      </c>
      <c r="K42">
        <v>3046.5137999999902</v>
      </c>
      <c r="L42">
        <v>2033.0400999999999</v>
      </c>
      <c r="M42">
        <v>3216.3939</v>
      </c>
      <c r="N42">
        <v>2856.7206000000001</v>
      </c>
      <c r="O42">
        <v>2623.7366000000002</v>
      </c>
      <c r="P42">
        <v>2730.7902999999901</v>
      </c>
      <c r="Q42">
        <v>4048.4632000000001</v>
      </c>
      <c r="R42">
        <v>4208.3495999999996</v>
      </c>
      <c r="S42">
        <v>5108.3700999999901</v>
      </c>
      <c r="U42" s="10" t="s">
        <v>22</v>
      </c>
      <c r="V42" s="15">
        <v>0</v>
      </c>
      <c r="W42" s="15">
        <v>0</v>
      </c>
      <c r="X42" s="15">
        <v>95000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I42" s="10" t="s">
        <v>22</v>
      </c>
      <c r="AJ42">
        <v>0</v>
      </c>
      <c r="AK42">
        <v>0</v>
      </c>
      <c r="AL42">
        <v>695390.12850250001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W42">
        <f>SUM(V12:Y12,V33:Y33,V54:Y54) -60000*AB12</f>
        <v>-10000</v>
      </c>
      <c r="AX42" t="s">
        <v>44</v>
      </c>
      <c r="AY42">
        <v>0</v>
      </c>
      <c r="AZ42" t="s">
        <v>54</v>
      </c>
      <c r="BB42" s="10" t="s">
        <v>22</v>
      </c>
      <c r="BC42">
        <v>0</v>
      </c>
      <c r="BD42">
        <v>0</v>
      </c>
      <c r="BE42">
        <v>218359.73050499996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 s="3"/>
      <c r="B43" s="3"/>
      <c r="C43" s="3"/>
      <c r="D43" s="3"/>
      <c r="E43" s="3"/>
      <c r="F43" s="3"/>
      <c r="G43" s="3"/>
      <c r="AW43">
        <f>SUM(V13:Y13,V34:Y34,V55:Y55) -60000*AB13</f>
        <v>-40034</v>
      </c>
      <c r="AX43" t="s">
        <v>44</v>
      </c>
      <c r="AY43">
        <v>0</v>
      </c>
      <c r="AZ43" t="s">
        <v>55</v>
      </c>
    </row>
    <row r="44" spans="1:66" x14ac:dyDescent="0.2">
      <c r="A44" s="3"/>
      <c r="B44" s="3"/>
      <c r="C44" s="3"/>
      <c r="D44" s="3"/>
      <c r="E44" s="3"/>
      <c r="F44" s="3"/>
      <c r="Q44" s="3"/>
      <c r="R44" s="3"/>
      <c r="AJ44" s="1"/>
      <c r="AW44">
        <f>SUM(V14:Y14,V35:Y35,V56:Y56)-60000*AB14</f>
        <v>0</v>
      </c>
      <c r="AX44" t="s">
        <v>44</v>
      </c>
      <c r="AY44">
        <v>0</v>
      </c>
      <c r="AZ44" t="s">
        <v>56</v>
      </c>
      <c r="BC44" s="1"/>
    </row>
    <row r="45" spans="1:66" x14ac:dyDescent="0.2">
      <c r="A45" s="4"/>
      <c r="B45" s="3"/>
      <c r="C45" s="3"/>
      <c r="D45" s="3"/>
      <c r="E45" s="3"/>
      <c r="F45" s="3"/>
      <c r="G45" s="4" t="s">
        <v>1</v>
      </c>
      <c r="H45" s="9" t="s">
        <v>8</v>
      </c>
      <c r="I45" s="9" t="s">
        <v>9</v>
      </c>
      <c r="J45" s="9" t="s">
        <v>10</v>
      </c>
      <c r="U45" s="4" t="s">
        <v>1</v>
      </c>
      <c r="V45" s="9" t="s">
        <v>8</v>
      </c>
      <c r="W45" s="9" t="s">
        <v>9</v>
      </c>
      <c r="X45" s="9" t="s">
        <v>10</v>
      </c>
      <c r="AB45" s="1"/>
      <c r="AI45" s="4" t="s">
        <v>1</v>
      </c>
      <c r="AJ45" s="9" t="s">
        <v>8</v>
      </c>
      <c r="AK45" s="9" t="s">
        <v>9</v>
      </c>
      <c r="AL45" s="9" t="s">
        <v>10</v>
      </c>
      <c r="AW45">
        <f>SUM(V15:Y15,V36:Y36,V57:Y57)-60000*AB15</f>
        <v>-15000</v>
      </c>
      <c r="AX45" t="s">
        <v>44</v>
      </c>
      <c r="AY45">
        <v>0</v>
      </c>
      <c r="AZ45" t="s">
        <v>57</v>
      </c>
      <c r="BB45" s="4" t="s">
        <v>1</v>
      </c>
      <c r="BC45" s="9" t="s">
        <v>8</v>
      </c>
      <c r="BD45" s="9" t="s">
        <v>9</v>
      </c>
      <c r="BE45" s="9" t="s">
        <v>10</v>
      </c>
    </row>
    <row r="46" spans="1:66" x14ac:dyDescent="0.2">
      <c r="A46" s="4"/>
      <c r="G46" s="8" t="s">
        <v>12</v>
      </c>
      <c r="H46" s="30">
        <v>20000</v>
      </c>
      <c r="I46" s="3">
        <v>21120.81</v>
      </c>
      <c r="J46" s="30">
        <v>20000</v>
      </c>
      <c r="K46" s="30"/>
      <c r="L46" s="30"/>
      <c r="T46" s="1"/>
      <c r="U46" s="8" t="s">
        <v>12</v>
      </c>
      <c r="V46" s="15">
        <v>0</v>
      </c>
      <c r="W46" s="15">
        <v>0</v>
      </c>
      <c r="X46" s="15">
        <v>0</v>
      </c>
      <c r="AG46" s="3"/>
      <c r="AI46" s="8" t="s">
        <v>12</v>
      </c>
      <c r="AJ46" cm="1">
        <f t="array" ref="AJ46:AL47">(C5*H46:J47+B10:B11)*V46:X47</f>
        <v>0</v>
      </c>
      <c r="AK46">
        <v>0</v>
      </c>
      <c r="AL46">
        <v>0</v>
      </c>
      <c r="BB46" s="8" t="s">
        <v>12</v>
      </c>
      <c r="BC46" s="30" cm="1">
        <f t="array" ref="BC46:BE47">H46:J47*(V46:X47/B7)*24</f>
        <v>0</v>
      </c>
      <c r="BD46">
        <v>0</v>
      </c>
      <c r="BE46">
        <v>0</v>
      </c>
    </row>
    <row r="47" spans="1:66" x14ac:dyDescent="0.2">
      <c r="B47" s="3"/>
      <c r="C47" s="3"/>
      <c r="D47" s="3"/>
      <c r="G47" s="8" t="s">
        <v>14</v>
      </c>
      <c r="H47" s="30">
        <v>20000</v>
      </c>
      <c r="I47">
        <v>21791.15</v>
      </c>
      <c r="J47" s="30">
        <v>20000</v>
      </c>
      <c r="U47" s="8" t="s">
        <v>14</v>
      </c>
      <c r="V47" s="15">
        <v>0</v>
      </c>
      <c r="W47" s="15">
        <v>0</v>
      </c>
      <c r="X47" s="15">
        <v>0</v>
      </c>
      <c r="AC47" s="3"/>
      <c r="AD47" s="3"/>
      <c r="AE47" s="3"/>
      <c r="AF47" s="3"/>
      <c r="AG47" s="3"/>
      <c r="AI47" s="8" t="s">
        <v>14</v>
      </c>
      <c r="AJ47">
        <v>0</v>
      </c>
      <c r="AK47">
        <v>0</v>
      </c>
      <c r="AL47">
        <v>0</v>
      </c>
      <c r="BB47" s="8" t="s">
        <v>14</v>
      </c>
      <c r="BC47">
        <v>0</v>
      </c>
      <c r="BD47">
        <v>0</v>
      </c>
      <c r="BE47">
        <v>0</v>
      </c>
    </row>
    <row r="48" spans="1:66" x14ac:dyDescent="0.2">
      <c r="B48" s="3"/>
      <c r="C48" s="3"/>
      <c r="D48" s="3"/>
      <c r="U48" s="2"/>
      <c r="V48" s="2"/>
      <c r="W48" s="2"/>
      <c r="X48" s="2"/>
      <c r="Y48" s="2"/>
      <c r="Z48" s="2"/>
      <c r="AC48" s="2"/>
      <c r="AD48" s="2"/>
      <c r="AE48" s="2"/>
      <c r="AF48" s="2"/>
      <c r="AG48" s="2"/>
      <c r="AI48" s="2"/>
      <c r="BB48" s="2"/>
    </row>
    <row r="49" spans="2:66" x14ac:dyDescent="0.2">
      <c r="G49" s="1" t="s">
        <v>1</v>
      </c>
      <c r="H49" s="10" t="s">
        <v>19</v>
      </c>
      <c r="I49" s="10" t="s">
        <v>20</v>
      </c>
      <c r="J49" s="10" t="s">
        <v>21</v>
      </c>
      <c r="K49" s="10" t="s">
        <v>22</v>
      </c>
      <c r="M49" s="30"/>
      <c r="U49" s="1" t="s">
        <v>1</v>
      </c>
      <c r="V49" s="10" t="s">
        <v>19</v>
      </c>
      <c r="W49" s="10" t="s">
        <v>20</v>
      </c>
      <c r="X49" s="10" t="s">
        <v>21</v>
      </c>
      <c r="Y49" s="10" t="s">
        <v>22</v>
      </c>
      <c r="AI49" s="1" t="s">
        <v>1</v>
      </c>
      <c r="AJ49" s="10" t="s">
        <v>19</v>
      </c>
      <c r="AK49" s="10" t="s">
        <v>20</v>
      </c>
      <c r="AL49" s="10" t="s">
        <v>21</v>
      </c>
      <c r="AM49" s="10" t="s">
        <v>22</v>
      </c>
      <c r="AW49" s="4" t="s">
        <v>41</v>
      </c>
      <c r="BB49" s="1" t="s">
        <v>1</v>
      </c>
      <c r="BC49" s="10" t="s">
        <v>19</v>
      </c>
      <c r="BD49" s="10" t="s">
        <v>20</v>
      </c>
      <c r="BE49" s="10" t="s">
        <v>21</v>
      </c>
      <c r="BF49" s="10" t="s">
        <v>22</v>
      </c>
    </row>
    <row r="50" spans="2:66" x14ac:dyDescent="0.2">
      <c r="G50" s="9" t="s">
        <v>8</v>
      </c>
      <c r="H50" s="30">
        <v>20000</v>
      </c>
      <c r="I50" s="30">
        <v>20000</v>
      </c>
      <c r="J50" s="30">
        <v>20000</v>
      </c>
      <c r="K50" s="30">
        <v>20000</v>
      </c>
      <c r="U50" s="9" t="s">
        <v>8</v>
      </c>
      <c r="V50" s="15">
        <v>0</v>
      </c>
      <c r="W50" s="15">
        <v>0</v>
      </c>
      <c r="X50" s="15">
        <v>0</v>
      </c>
      <c r="Y50" s="15">
        <v>0</v>
      </c>
      <c r="AI50" s="9" t="s">
        <v>8</v>
      </c>
      <c r="AJ50" s="30" cm="1">
        <f t="array" ref="AJ50:AM52">(C5*H50:K52+B15:B17)*V50:Y52</f>
        <v>0</v>
      </c>
      <c r="AK50">
        <v>0</v>
      </c>
      <c r="AL50">
        <v>0</v>
      </c>
      <c r="AM50">
        <v>0</v>
      </c>
      <c r="AW50" s="33">
        <f>SUM(_xlfn.ANCHORARRAY(AJ4),AJ8:AN15,_xlfn.ANCHORARRAY(AJ18),AJ29:AM36,_xlfn.ANCHORARRAY(AJ39),AJ50:AM57,_xlfn.ANCHORARRAY(AJ46),_xlfn.ANCHORARRAY(AJ60))</f>
        <v>63191235.683529168</v>
      </c>
      <c r="BB50" s="9" t="s">
        <v>8</v>
      </c>
      <c r="BC50" s="30" cm="1">
        <f t="array" ref="BC50:BF57">H50:K57*(V50:Y57/B7)*24</f>
        <v>0</v>
      </c>
      <c r="BD50">
        <v>0</v>
      </c>
      <c r="BE50">
        <v>0</v>
      </c>
      <c r="BF50">
        <v>0</v>
      </c>
    </row>
    <row r="51" spans="2:66" x14ac:dyDescent="0.2">
      <c r="B51" s="3"/>
      <c r="C51" s="3"/>
      <c r="D51" s="3"/>
      <c r="E51" s="3"/>
      <c r="G51" s="9" t="s">
        <v>9</v>
      </c>
      <c r="H51" s="30">
        <v>20000</v>
      </c>
      <c r="I51" s="30">
        <v>20000</v>
      </c>
      <c r="J51">
        <v>626.22</v>
      </c>
      <c r="K51">
        <v>6939.35</v>
      </c>
      <c r="U51" s="9" t="s">
        <v>9</v>
      </c>
      <c r="V51" s="15">
        <v>0</v>
      </c>
      <c r="W51" s="15">
        <v>0</v>
      </c>
      <c r="X51" s="15">
        <v>0</v>
      </c>
      <c r="Y51" s="15">
        <v>0</v>
      </c>
      <c r="AI51" s="9" t="s">
        <v>9</v>
      </c>
      <c r="AJ51">
        <v>0</v>
      </c>
      <c r="AK51">
        <v>0</v>
      </c>
      <c r="AL51">
        <v>0</v>
      </c>
      <c r="AM51">
        <v>0</v>
      </c>
      <c r="BB51" s="9" t="s">
        <v>9</v>
      </c>
      <c r="BC51">
        <v>0</v>
      </c>
      <c r="BD51">
        <v>0</v>
      </c>
      <c r="BE51">
        <v>0</v>
      </c>
      <c r="BF51">
        <v>0</v>
      </c>
    </row>
    <row r="52" spans="2:66" x14ac:dyDescent="0.2">
      <c r="B52" s="3"/>
      <c r="C52" s="3"/>
      <c r="D52" s="3"/>
      <c r="E52" s="3"/>
      <c r="G52" s="9" t="s">
        <v>10</v>
      </c>
      <c r="H52" s="30">
        <v>20000</v>
      </c>
      <c r="I52" s="30">
        <v>20000</v>
      </c>
      <c r="J52" s="30">
        <v>20000</v>
      </c>
      <c r="K52" s="30">
        <v>20000</v>
      </c>
      <c r="U52" s="9" t="s">
        <v>10</v>
      </c>
      <c r="V52" s="15">
        <v>0</v>
      </c>
      <c r="W52" s="15">
        <v>0</v>
      </c>
      <c r="X52" s="15">
        <v>0</v>
      </c>
      <c r="Y52" s="15">
        <v>0</v>
      </c>
      <c r="AI52" s="9" t="s">
        <v>10</v>
      </c>
      <c r="AJ52">
        <v>0</v>
      </c>
      <c r="AK52">
        <v>0</v>
      </c>
      <c r="AL52">
        <v>0</v>
      </c>
      <c r="AM52">
        <v>0</v>
      </c>
      <c r="AW52" t="s">
        <v>68</v>
      </c>
      <c r="BB52" s="9" t="s">
        <v>10</v>
      </c>
      <c r="BC52">
        <v>0</v>
      </c>
      <c r="BD52">
        <v>0</v>
      </c>
      <c r="BE52">
        <v>0</v>
      </c>
      <c r="BF52">
        <v>0</v>
      </c>
    </row>
    <row r="53" spans="2:66" x14ac:dyDescent="0.2">
      <c r="B53" s="3"/>
      <c r="C53" s="3"/>
      <c r="D53" s="3"/>
      <c r="E53" s="3"/>
      <c r="G53" s="21" t="s">
        <v>53</v>
      </c>
      <c r="H53" s="30">
        <v>20000</v>
      </c>
      <c r="I53" s="30">
        <v>20000</v>
      </c>
      <c r="J53" s="30">
        <v>20000</v>
      </c>
      <c r="K53" s="30">
        <v>20000</v>
      </c>
      <c r="U53" s="21" t="s">
        <v>53</v>
      </c>
      <c r="V53" s="15">
        <v>0</v>
      </c>
      <c r="W53" s="15">
        <v>0</v>
      </c>
      <c r="X53" s="15">
        <v>0</v>
      </c>
      <c r="Y53" s="15">
        <v>0</v>
      </c>
      <c r="AI53" s="21" t="s">
        <v>53</v>
      </c>
      <c r="AJ53" s="30" cm="1">
        <f t="array" ref="AJ53:AM57">(C5*H53:K57+AD11:AD15)*V53:Y57</f>
        <v>0</v>
      </c>
      <c r="AK53">
        <v>0</v>
      </c>
      <c r="AL53">
        <v>0</v>
      </c>
      <c r="AM53">
        <v>0</v>
      </c>
      <c r="AW53" t="s">
        <v>69</v>
      </c>
      <c r="AX53" cm="1">
        <f t="array" ref="AX53">SUM(H4:J5*V4:X5,H8:K15*V8:Y15,H18:S21*V18:AG21)*B6*0.952</f>
        <v>691384779.38857579</v>
      </c>
      <c r="BB53" s="21" t="s">
        <v>53</v>
      </c>
      <c r="BC53" s="30">
        <v>0</v>
      </c>
      <c r="BD53">
        <v>0</v>
      </c>
      <c r="BE53">
        <v>0</v>
      </c>
      <c r="BF53">
        <v>0</v>
      </c>
    </row>
    <row r="54" spans="2:66" x14ac:dyDescent="0.2">
      <c r="G54" s="21" t="s">
        <v>54</v>
      </c>
      <c r="H54" s="30">
        <v>20000</v>
      </c>
      <c r="I54" s="30">
        <v>20000</v>
      </c>
      <c r="J54" s="30">
        <v>20000</v>
      </c>
      <c r="K54" s="30">
        <v>20000</v>
      </c>
      <c r="U54" s="21" t="s">
        <v>54</v>
      </c>
      <c r="V54" s="15">
        <v>0</v>
      </c>
      <c r="W54" s="15">
        <v>0</v>
      </c>
      <c r="X54" s="15">
        <v>0</v>
      </c>
      <c r="Y54" s="15">
        <v>0</v>
      </c>
      <c r="AG54" s="3"/>
      <c r="AI54" s="21" t="s">
        <v>54</v>
      </c>
      <c r="AJ54">
        <v>0</v>
      </c>
      <c r="AK54">
        <v>0</v>
      </c>
      <c r="AL54">
        <v>0</v>
      </c>
      <c r="AM54">
        <v>0</v>
      </c>
      <c r="AW54" t="s">
        <v>70</v>
      </c>
      <c r="AX54" s="30" cm="1">
        <f t="array" ref="AX54">SUM(H25:J26*V25:X26,H29:K36*V29:Y36,H39:S42*V39:AG42)*B6*0.073</f>
        <v>94610683.35103035</v>
      </c>
      <c r="BB54" s="21" t="s">
        <v>54</v>
      </c>
      <c r="BC54">
        <v>0</v>
      </c>
      <c r="BD54">
        <v>0</v>
      </c>
      <c r="BE54">
        <v>0</v>
      </c>
      <c r="BF54">
        <v>0</v>
      </c>
    </row>
    <row r="55" spans="2:66" x14ac:dyDescent="0.2">
      <c r="G55" s="21" t="s">
        <v>55</v>
      </c>
      <c r="H55" s="30">
        <v>20000</v>
      </c>
      <c r="I55" s="30">
        <v>20000</v>
      </c>
      <c r="J55" s="3">
        <v>3176.12</v>
      </c>
      <c r="K55" s="3">
        <v>5125.41</v>
      </c>
      <c r="U55" s="21" t="s">
        <v>55</v>
      </c>
      <c r="V55" s="15">
        <v>0</v>
      </c>
      <c r="W55" s="15">
        <v>0</v>
      </c>
      <c r="X55" s="15">
        <v>0</v>
      </c>
      <c r="Y55" s="15">
        <v>0</v>
      </c>
      <c r="AG55" s="3"/>
      <c r="AI55" s="21" t="s">
        <v>55</v>
      </c>
      <c r="AJ55">
        <v>0</v>
      </c>
      <c r="AK55">
        <v>0</v>
      </c>
      <c r="AL55">
        <v>0</v>
      </c>
      <c r="AM55">
        <v>0</v>
      </c>
      <c r="AW55" t="s">
        <v>71</v>
      </c>
      <c r="AX55" s="30" cm="1">
        <f t="array" ref="AX55">SUM(H46:J47*V46:X47,H50:K57*V50:Y57,H60:S63*V60:AG63)*B6*0.024</f>
        <v>0</v>
      </c>
      <c r="BB55" s="21" t="s">
        <v>55</v>
      </c>
      <c r="BC55">
        <v>0</v>
      </c>
      <c r="BD55">
        <v>0</v>
      </c>
      <c r="BE55">
        <v>0</v>
      </c>
      <c r="BF55">
        <v>0</v>
      </c>
    </row>
    <row r="56" spans="2:66" x14ac:dyDescent="0.2">
      <c r="F56" s="3"/>
      <c r="G56" s="21" t="s">
        <v>56</v>
      </c>
      <c r="H56" s="30">
        <v>20000</v>
      </c>
      <c r="I56" s="30">
        <v>20000</v>
      </c>
      <c r="J56" s="3">
        <v>419.79</v>
      </c>
      <c r="K56" s="3">
        <v>7414.61</v>
      </c>
      <c r="U56" s="21" t="s">
        <v>56</v>
      </c>
      <c r="V56" s="15">
        <v>0</v>
      </c>
      <c r="W56" s="15">
        <v>0</v>
      </c>
      <c r="X56" s="15">
        <v>0</v>
      </c>
      <c r="Y56" s="15">
        <v>0</v>
      </c>
      <c r="AI56" s="21" t="s">
        <v>56</v>
      </c>
      <c r="AJ56">
        <v>0</v>
      </c>
      <c r="AK56">
        <v>0</v>
      </c>
      <c r="AL56">
        <v>0</v>
      </c>
      <c r="AM56">
        <v>0</v>
      </c>
      <c r="AW56" s="1"/>
      <c r="BB56" s="21" t="s">
        <v>56</v>
      </c>
      <c r="BC56">
        <v>0</v>
      </c>
      <c r="BD56">
        <v>0</v>
      </c>
      <c r="BE56">
        <v>0</v>
      </c>
      <c r="BF56">
        <v>0</v>
      </c>
    </row>
    <row r="57" spans="2:66" x14ac:dyDescent="0.2">
      <c r="F57" s="3"/>
      <c r="G57" s="21" t="s">
        <v>57</v>
      </c>
      <c r="H57" s="30">
        <v>20000</v>
      </c>
      <c r="I57" s="30">
        <v>20000</v>
      </c>
      <c r="J57" s="30">
        <v>20000</v>
      </c>
      <c r="K57" s="30">
        <v>20000</v>
      </c>
      <c r="U57" s="21" t="s">
        <v>57</v>
      </c>
      <c r="V57" s="15">
        <v>0</v>
      </c>
      <c r="W57" s="15">
        <v>0</v>
      </c>
      <c r="X57" s="15">
        <v>0</v>
      </c>
      <c r="Y57" s="15">
        <v>0</v>
      </c>
      <c r="AI57" s="21" t="s">
        <v>57</v>
      </c>
      <c r="AJ57">
        <v>0</v>
      </c>
      <c r="AK57">
        <v>0</v>
      </c>
      <c r="AL57">
        <v>0</v>
      </c>
      <c r="AM57">
        <v>0</v>
      </c>
      <c r="BB57" s="21" t="s">
        <v>57</v>
      </c>
      <c r="BC57">
        <v>0</v>
      </c>
      <c r="BD57">
        <v>0</v>
      </c>
      <c r="BE57">
        <v>0</v>
      </c>
      <c r="BF57">
        <v>0</v>
      </c>
    </row>
    <row r="58" spans="2:66" x14ac:dyDescent="0.2">
      <c r="F58" s="3"/>
      <c r="AW58" s="1"/>
    </row>
    <row r="59" spans="2:66" x14ac:dyDescent="0.2">
      <c r="B59" s="3"/>
      <c r="C59" s="3"/>
      <c r="D59" s="3"/>
      <c r="E59" s="3"/>
      <c r="F59" s="3"/>
      <c r="G59" s="1" t="s">
        <v>1</v>
      </c>
      <c r="H59" s="11" t="s">
        <v>25</v>
      </c>
      <c r="I59" s="11" t="s">
        <v>26</v>
      </c>
      <c r="J59" s="11" t="s">
        <v>27</v>
      </c>
      <c r="K59" s="11" t="s">
        <v>28</v>
      </c>
      <c r="L59" s="11" t="s">
        <v>29</v>
      </c>
      <c r="M59" s="11" t="s">
        <v>30</v>
      </c>
      <c r="N59" s="11" t="s">
        <v>31</v>
      </c>
      <c r="O59" s="11" t="s">
        <v>32</v>
      </c>
      <c r="P59" s="11" t="s">
        <v>33</v>
      </c>
      <c r="Q59" s="11" t="s">
        <v>34</v>
      </c>
      <c r="R59" s="11" t="s">
        <v>35</v>
      </c>
      <c r="S59" s="11" t="s">
        <v>36</v>
      </c>
      <c r="U59" s="1" t="s">
        <v>1</v>
      </c>
      <c r="V59" s="11" t="s">
        <v>25</v>
      </c>
      <c r="W59" s="11" t="s">
        <v>26</v>
      </c>
      <c r="X59" s="11" t="s">
        <v>27</v>
      </c>
      <c r="Y59" s="11" t="s">
        <v>28</v>
      </c>
      <c r="Z59" s="11" t="s">
        <v>29</v>
      </c>
      <c r="AA59" s="11" t="s">
        <v>30</v>
      </c>
      <c r="AB59" s="11" t="s">
        <v>31</v>
      </c>
      <c r="AC59" s="11" t="s">
        <v>32</v>
      </c>
      <c r="AD59" s="11" t="s">
        <v>33</v>
      </c>
      <c r="AE59" s="11" t="s">
        <v>34</v>
      </c>
      <c r="AF59" s="11" t="s">
        <v>35</v>
      </c>
      <c r="AG59" s="11" t="s">
        <v>36</v>
      </c>
      <c r="AI59" s="1" t="s">
        <v>1</v>
      </c>
      <c r="AJ59" s="11" t="s">
        <v>25</v>
      </c>
      <c r="AK59" s="11" t="s">
        <v>26</v>
      </c>
      <c r="AL59" s="11" t="s">
        <v>27</v>
      </c>
      <c r="AM59" s="11" t="s">
        <v>28</v>
      </c>
      <c r="AN59" s="11" t="s">
        <v>29</v>
      </c>
      <c r="AO59" s="11" t="s">
        <v>30</v>
      </c>
      <c r="AP59" s="11" t="s">
        <v>31</v>
      </c>
      <c r="AQ59" s="11" t="s">
        <v>32</v>
      </c>
      <c r="AR59" s="11" t="s">
        <v>33</v>
      </c>
      <c r="AS59" s="11" t="s">
        <v>34</v>
      </c>
      <c r="AT59" s="11" t="s">
        <v>35</v>
      </c>
      <c r="AU59" s="11" t="s">
        <v>36</v>
      </c>
      <c r="BB59" s="1" t="s">
        <v>1</v>
      </c>
      <c r="BC59" s="11" t="s">
        <v>25</v>
      </c>
      <c r="BD59" s="11" t="s">
        <v>26</v>
      </c>
      <c r="BE59" s="11" t="s">
        <v>27</v>
      </c>
      <c r="BF59" s="11" t="s">
        <v>28</v>
      </c>
      <c r="BG59" s="11" t="s">
        <v>29</v>
      </c>
      <c r="BH59" s="11" t="s">
        <v>30</v>
      </c>
      <c r="BI59" s="11" t="s">
        <v>31</v>
      </c>
      <c r="BJ59" s="11" t="s">
        <v>32</v>
      </c>
      <c r="BK59" s="11" t="s">
        <v>33</v>
      </c>
      <c r="BL59" s="11" t="s">
        <v>34</v>
      </c>
      <c r="BM59" s="11" t="s">
        <v>35</v>
      </c>
      <c r="BN59" s="11" t="s">
        <v>36</v>
      </c>
    </row>
    <row r="60" spans="2:66" x14ac:dyDescent="0.2">
      <c r="G60" s="10" t="s">
        <v>19</v>
      </c>
      <c r="H60" s="30">
        <v>20000</v>
      </c>
      <c r="I60" s="30">
        <v>20000</v>
      </c>
      <c r="J60" s="30">
        <v>20000</v>
      </c>
      <c r="K60" s="30">
        <v>20000</v>
      </c>
      <c r="L60" s="30">
        <v>20000</v>
      </c>
      <c r="M60" s="30">
        <v>20000</v>
      </c>
      <c r="N60" s="30">
        <v>20000</v>
      </c>
      <c r="O60" s="30">
        <v>20000</v>
      </c>
      <c r="P60" s="30">
        <v>20000</v>
      </c>
      <c r="Q60" s="30">
        <v>20000</v>
      </c>
      <c r="R60" s="30">
        <v>20000</v>
      </c>
      <c r="S60" s="30">
        <v>20000</v>
      </c>
      <c r="U60" s="10" t="s">
        <v>19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I60" s="10" t="s">
        <v>19</v>
      </c>
      <c r="AJ60" s="30" cm="1">
        <f t="array" ref="AJ60:AU63">(C5*H60:S63+B21:B24)*V60:AG63</f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BB60" s="10" t="s">
        <v>19</v>
      </c>
      <c r="BC60" s="30" cm="1">
        <f t="array" ref="BC60:BN63">H60:S63*(V60:AG63/B7)*24</f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2:66" x14ac:dyDescent="0.2">
      <c r="B61" s="3"/>
      <c r="C61" s="3"/>
      <c r="D61" s="3"/>
      <c r="E61" s="3"/>
      <c r="F61" s="3"/>
      <c r="G61" s="10" t="s">
        <v>20</v>
      </c>
      <c r="H61" s="30">
        <v>20000</v>
      </c>
      <c r="I61" s="30">
        <v>20000</v>
      </c>
      <c r="J61" s="30">
        <v>20000</v>
      </c>
      <c r="K61" s="30">
        <v>20000</v>
      </c>
      <c r="L61" s="30">
        <v>20000</v>
      </c>
      <c r="M61" s="30">
        <v>20000</v>
      </c>
      <c r="N61" s="30">
        <v>20000</v>
      </c>
      <c r="O61" s="30">
        <v>20000</v>
      </c>
      <c r="P61" s="30">
        <v>20000</v>
      </c>
      <c r="Q61" s="30">
        <v>20000</v>
      </c>
      <c r="R61" s="30">
        <v>20000</v>
      </c>
      <c r="S61" s="30">
        <v>20000</v>
      </c>
      <c r="U61" s="10" t="s">
        <v>20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I61" s="10" t="s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BB61" s="10" t="s">
        <v>20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2:66" x14ac:dyDescent="0.2">
      <c r="B62" s="3"/>
      <c r="C62" s="3"/>
      <c r="D62" s="3"/>
      <c r="E62" s="3"/>
      <c r="F62" s="3"/>
      <c r="G62" s="10" t="s">
        <v>21</v>
      </c>
      <c r="H62" s="30">
        <v>20000</v>
      </c>
      <c r="I62">
        <v>7382.62</v>
      </c>
      <c r="J62">
        <v>7252.73</v>
      </c>
      <c r="K62" s="30">
        <v>20000</v>
      </c>
      <c r="L62" s="30">
        <v>20000</v>
      </c>
      <c r="M62" s="30">
        <v>20000</v>
      </c>
      <c r="N62" s="30">
        <v>20000</v>
      </c>
      <c r="O62">
        <v>1803.76</v>
      </c>
      <c r="P62" s="30">
        <v>20000</v>
      </c>
      <c r="Q62" s="30">
        <v>20000</v>
      </c>
      <c r="R62">
        <v>3951.36</v>
      </c>
      <c r="S62" s="30">
        <v>20000</v>
      </c>
      <c r="U62" s="10" t="s">
        <v>21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I62" s="10" t="s">
        <v>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BB62" s="10" t="s">
        <v>21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2:66" x14ac:dyDescent="0.2">
      <c r="B63" s="3"/>
      <c r="C63" s="3"/>
      <c r="D63" s="3"/>
      <c r="E63" s="3"/>
      <c r="F63" s="3"/>
      <c r="G63" s="10" t="s">
        <v>22</v>
      </c>
      <c r="H63" s="30">
        <v>20000</v>
      </c>
      <c r="I63">
        <v>430.2</v>
      </c>
      <c r="J63" s="30">
        <v>20000</v>
      </c>
      <c r="K63" s="30">
        <v>20000</v>
      </c>
      <c r="L63" s="30">
        <v>20000</v>
      </c>
      <c r="M63" s="30">
        <v>20000</v>
      </c>
      <c r="N63" s="30">
        <v>20000</v>
      </c>
      <c r="O63">
        <v>5892.31</v>
      </c>
      <c r="P63" s="30">
        <v>20000</v>
      </c>
      <c r="Q63" s="30">
        <v>20000</v>
      </c>
      <c r="R63">
        <v>3425.34</v>
      </c>
      <c r="S63" s="30">
        <v>20000</v>
      </c>
      <c r="U63" s="10" t="s">
        <v>22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I63" s="10" t="s">
        <v>22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BB63" s="10" t="s">
        <v>22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2:66" x14ac:dyDescent="0.2">
      <c r="B64" s="3"/>
      <c r="C64" s="3"/>
      <c r="D64" s="3"/>
      <c r="E64" s="3"/>
      <c r="F64" s="3"/>
    </row>
    <row r="65" spans="7:58" x14ac:dyDescent="0.2">
      <c r="G65" s="3"/>
      <c r="H65" s="3"/>
      <c r="I65" s="3"/>
      <c r="J65" s="3"/>
      <c r="K65" s="3"/>
      <c r="L65" s="3"/>
      <c r="M65" s="3"/>
      <c r="AI65" s="4"/>
      <c r="BB65" s="1" t="s">
        <v>72</v>
      </c>
    </row>
    <row r="66" spans="7:58" x14ac:dyDescent="0.2">
      <c r="G66" s="3"/>
      <c r="H66" s="3"/>
      <c r="I66" s="3"/>
      <c r="J66" s="30"/>
      <c r="K66" s="3"/>
      <c r="L66" s="3"/>
      <c r="M66" s="3"/>
      <c r="AI66" s="3"/>
      <c r="BB66" s="30">
        <f>SUM(_xlfn.ANCHORARRAY(BC4),_xlfn.ANCHORARRAY(BC8),_xlfn.ANCHORARRAY(BC18),_xlfn.ANCHORARRAY(BC29),_xlfn.ANCHORARRAY(BC39),_xlfn.ANCHORARRAY(BC46),_xlfn.ANCHORARRAY(BC50),_xlfn.ANCHORARRAY(BC60))</f>
        <v>785995462.73960626</v>
      </c>
      <c r="BC66" t="s">
        <v>44</v>
      </c>
      <c r="BD66" s="30">
        <v>786000000</v>
      </c>
    </row>
    <row r="67" spans="7:58" x14ac:dyDescent="0.2">
      <c r="G67" s="3"/>
      <c r="H67" s="3"/>
      <c r="I67" s="3"/>
      <c r="J67" s="3"/>
      <c r="K67" s="3"/>
      <c r="L67" s="3"/>
      <c r="M67" s="3"/>
    </row>
    <row r="68" spans="7:58" x14ac:dyDescent="0.2">
      <c r="BB68" t="s">
        <v>64</v>
      </c>
      <c r="BC68" t="s">
        <v>39</v>
      </c>
      <c r="BE68" t="s">
        <v>190</v>
      </c>
      <c r="BF68" s="30">
        <v>786000000</v>
      </c>
    </row>
    <row r="69" spans="7:58" x14ac:dyDescent="0.2">
      <c r="BB69" s="30">
        <v>1700000000</v>
      </c>
      <c r="BC69" s="30">
        <v>57700000</v>
      </c>
    </row>
    <row r="70" spans="7:58" x14ac:dyDescent="0.2">
      <c r="BB70" s="30">
        <v>1600000000</v>
      </c>
      <c r="BC70" s="30">
        <v>60000000</v>
      </c>
    </row>
    <row r="71" spans="7:58" x14ac:dyDescent="0.2">
      <c r="BB71" s="30">
        <v>1210000000</v>
      </c>
      <c r="BC71" s="31">
        <v>60000000</v>
      </c>
    </row>
    <row r="72" spans="7:58" x14ac:dyDescent="0.2">
      <c r="BB72" s="30">
        <v>1200000000</v>
      </c>
      <c r="BC72" s="31">
        <v>59900000</v>
      </c>
    </row>
    <row r="73" spans="7:58" x14ac:dyDescent="0.2">
      <c r="BB73" s="30">
        <v>1100000000</v>
      </c>
      <c r="BC73" s="30">
        <v>63200000</v>
      </c>
    </row>
    <row r="74" spans="7:58" x14ac:dyDescent="0.2">
      <c r="BB74" s="30">
        <v>785000000</v>
      </c>
      <c r="BC74" s="30">
        <v>63200000</v>
      </c>
    </row>
    <row r="75" spans="7:58" x14ac:dyDescent="0.2">
      <c r="BB75" s="30">
        <v>780000000</v>
      </c>
      <c r="BC75" s="30">
        <v>63400000</v>
      </c>
    </row>
    <row r="76" spans="7:58" x14ac:dyDescent="0.2">
      <c r="BB76" s="30">
        <v>750000000</v>
      </c>
      <c r="BC76" s="30">
        <v>64800000</v>
      </c>
    </row>
    <row r="77" spans="7:58" x14ac:dyDescent="0.2">
      <c r="BB77" s="30">
        <v>700000000</v>
      </c>
      <c r="BC77" s="30">
        <v>67100000</v>
      </c>
    </row>
    <row r="78" spans="7:58" x14ac:dyDescent="0.2">
      <c r="BB78" s="30">
        <v>600000000</v>
      </c>
      <c r="BC78" s="30">
        <v>71600000</v>
      </c>
    </row>
    <row r="79" spans="7:58" x14ac:dyDescent="0.2">
      <c r="BB79" s="30">
        <v>500000000</v>
      </c>
      <c r="BC79" s="30">
        <v>76100000</v>
      </c>
    </row>
    <row r="80" spans="7:58" x14ac:dyDescent="0.2">
      <c r="BB80" s="30">
        <v>400000000</v>
      </c>
      <c r="BC80" s="30">
        <v>80700000</v>
      </c>
    </row>
    <row r="81" spans="54:55" x14ac:dyDescent="0.2">
      <c r="BB81" s="30">
        <v>300000000</v>
      </c>
      <c r="BC81" s="30">
        <v>85200000</v>
      </c>
    </row>
    <row r="82" spans="54:55" x14ac:dyDescent="0.2">
      <c r="BB82" s="30">
        <v>200000000</v>
      </c>
      <c r="BC82" s="30">
        <v>89800000</v>
      </c>
    </row>
    <row r="83" spans="54:55" x14ac:dyDescent="0.2">
      <c r="BB83" s="30">
        <v>150000000</v>
      </c>
      <c r="BC83" s="30">
        <v>92000000</v>
      </c>
    </row>
    <row r="84" spans="54:55" x14ac:dyDescent="0.2">
      <c r="BB84" s="30">
        <v>108000000</v>
      </c>
      <c r="BC84" s="30">
        <v>107000000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B69D-DA39-7748-B9C5-637EA296670E}">
  <dimension ref="A1:BN67"/>
  <sheetViews>
    <sheetView topLeftCell="AN34" workbookViewId="0">
      <selection activeCell="X56" sqref="X56"/>
    </sheetView>
  </sheetViews>
  <sheetFormatPr baseColWidth="10" defaultRowHeight="16" x14ac:dyDescent="0.2"/>
  <sheetData>
    <row r="1" spans="1:58" x14ac:dyDescent="0.2">
      <c r="A1" s="4"/>
      <c r="B1" s="4" t="s">
        <v>0</v>
      </c>
      <c r="C1" s="4" t="s">
        <v>1</v>
      </c>
      <c r="D1" s="4" t="s">
        <v>63</v>
      </c>
      <c r="E1" s="3"/>
      <c r="F1" s="3"/>
      <c r="G1" s="3"/>
    </row>
    <row r="2" spans="1:58" x14ac:dyDescent="0.2">
      <c r="A2" s="3" t="s">
        <v>4</v>
      </c>
      <c r="B2" s="3">
        <v>952</v>
      </c>
      <c r="C2" s="3">
        <v>24</v>
      </c>
      <c r="D2" s="3">
        <v>73</v>
      </c>
      <c r="E2" s="3"/>
      <c r="F2" s="3"/>
      <c r="G2" s="1" t="s">
        <v>45</v>
      </c>
      <c r="U2" s="1" t="s">
        <v>7</v>
      </c>
      <c r="AB2" s="1"/>
      <c r="AI2" s="1" t="s">
        <v>39</v>
      </c>
      <c r="AW2" s="1" t="s">
        <v>42</v>
      </c>
      <c r="BA2" s="3"/>
      <c r="BB2" s="1" t="s">
        <v>64</v>
      </c>
    </row>
    <row r="3" spans="1:58" x14ac:dyDescent="0.2">
      <c r="A3" s="3" t="s">
        <v>65</v>
      </c>
      <c r="B3" s="3">
        <v>1.14E-2</v>
      </c>
      <c r="C3" s="3">
        <v>1.6999999999999999E-3</v>
      </c>
      <c r="D3">
        <v>6.4999999999999997E-3</v>
      </c>
      <c r="E3" s="3"/>
      <c r="F3" s="3"/>
      <c r="G3" s="4" t="s">
        <v>0</v>
      </c>
      <c r="H3" s="9" t="s">
        <v>8</v>
      </c>
      <c r="I3" s="9" t="s">
        <v>9</v>
      </c>
      <c r="J3" s="9" t="s">
        <v>10</v>
      </c>
      <c r="U3" s="4" t="s">
        <v>0</v>
      </c>
      <c r="V3" s="9" t="s">
        <v>8</v>
      </c>
      <c r="W3" s="9" t="s">
        <v>9</v>
      </c>
      <c r="X3" s="9" t="s">
        <v>10</v>
      </c>
      <c r="AB3" s="1"/>
      <c r="AI3" s="4" t="s">
        <v>0</v>
      </c>
      <c r="AJ3" s="9" t="s">
        <v>8</v>
      </c>
      <c r="AK3" s="9" t="s">
        <v>9</v>
      </c>
      <c r="AL3" s="9" t="s">
        <v>10</v>
      </c>
      <c r="AW3" s="1" t="s">
        <v>43</v>
      </c>
      <c r="BA3" s="3"/>
      <c r="BB3" s="4" t="s">
        <v>0</v>
      </c>
      <c r="BC3" s="9" t="s">
        <v>8</v>
      </c>
      <c r="BD3" s="9" t="s">
        <v>9</v>
      </c>
      <c r="BE3" s="9" t="s">
        <v>10</v>
      </c>
    </row>
    <row r="4" spans="1:58" x14ac:dyDescent="0.2">
      <c r="A4" s="3" t="s">
        <v>66</v>
      </c>
      <c r="B4" s="3">
        <v>6.3000000000000003E-4</v>
      </c>
      <c r="C4" s="3">
        <v>5.21E-2</v>
      </c>
      <c r="D4" s="3">
        <v>2.3999999999999998E-3</v>
      </c>
      <c r="E4" s="3"/>
      <c r="F4" s="3"/>
      <c r="G4" s="8" t="s">
        <v>12</v>
      </c>
      <c r="H4" s="3">
        <v>9000.7708299999995</v>
      </c>
      <c r="I4" s="3">
        <v>8561.6520600000003</v>
      </c>
      <c r="J4" s="3">
        <v>9815.4661699999997</v>
      </c>
      <c r="U4" s="8" t="s">
        <v>12</v>
      </c>
      <c r="V4" s="15">
        <v>0</v>
      </c>
      <c r="W4" s="15">
        <v>0</v>
      </c>
      <c r="X4" s="15">
        <v>0</v>
      </c>
      <c r="AG4" s="3"/>
      <c r="AH4" s="3"/>
      <c r="AI4" s="8" t="s">
        <v>12</v>
      </c>
      <c r="AJ4" cm="1">
        <f t="array" ref="AJ4:AL5">(B5*H4:J5+B10:B11)*V4:X5</f>
        <v>0</v>
      </c>
      <c r="AK4">
        <v>0</v>
      </c>
      <c r="AL4">
        <v>0</v>
      </c>
      <c r="AW4">
        <f xml:space="preserve"> SUM(V8:V15,V29:V36,V50:V57)</f>
        <v>41500</v>
      </c>
      <c r="AX4" t="s">
        <v>44</v>
      </c>
      <c r="AY4" s="3">
        <v>45000</v>
      </c>
      <c r="AZ4" s="3" t="s">
        <v>19</v>
      </c>
      <c r="BA4" s="3"/>
      <c r="BB4" s="8" t="s">
        <v>12</v>
      </c>
      <c r="BC4" cm="1">
        <f t="array" ref="BC4:BE5">H4:J5*(V4:X5 / B7)*952</f>
        <v>0</v>
      </c>
      <c r="BD4">
        <v>0</v>
      </c>
      <c r="BE4">
        <v>0</v>
      </c>
    </row>
    <row r="5" spans="1:58" x14ac:dyDescent="0.2">
      <c r="A5" s="4" t="s">
        <v>67</v>
      </c>
      <c r="B5" s="3" cm="1">
        <f t="array" ref="B5:D5">B3:D3*B6+B4:D4</f>
        <v>3.0611999999999997E-2</v>
      </c>
      <c r="C5" s="3">
        <v>5.6570999999999996E-2</v>
      </c>
      <c r="D5" s="3">
        <v>1.9494999999999998E-2</v>
      </c>
      <c r="E5" s="3"/>
      <c r="F5" s="3"/>
      <c r="G5" s="8" t="s">
        <v>14</v>
      </c>
      <c r="H5" s="3">
        <v>8471.3719099999998</v>
      </c>
      <c r="I5" s="3">
        <v>7996.1371200000003</v>
      </c>
      <c r="J5" s="3">
        <v>9243.1630600000008</v>
      </c>
      <c r="U5" s="8" t="s">
        <v>14</v>
      </c>
      <c r="V5" s="15">
        <v>0</v>
      </c>
      <c r="W5" s="15">
        <v>0</v>
      </c>
      <c r="X5" s="15">
        <v>0</v>
      </c>
      <c r="AC5" s="3"/>
      <c r="AD5" s="3"/>
      <c r="AE5" s="3"/>
      <c r="AF5" s="3"/>
      <c r="AG5" s="3"/>
      <c r="AI5" s="8" t="s">
        <v>14</v>
      </c>
      <c r="AJ5">
        <v>0</v>
      </c>
      <c r="AK5">
        <v>0</v>
      </c>
      <c r="AL5">
        <v>0</v>
      </c>
      <c r="AW5">
        <f>SUM(W8:W15,W29:W36,W50:W57)</f>
        <v>18000</v>
      </c>
      <c r="AX5" t="s">
        <v>44</v>
      </c>
      <c r="AY5" s="3">
        <v>150000</v>
      </c>
      <c r="AZ5" s="3" t="s">
        <v>20</v>
      </c>
      <c r="BB5" s="8" t="s">
        <v>14</v>
      </c>
      <c r="BC5">
        <v>0</v>
      </c>
      <c r="BD5">
        <v>0</v>
      </c>
      <c r="BE5">
        <v>0</v>
      </c>
    </row>
    <row r="6" spans="1:58" x14ac:dyDescent="0.2">
      <c r="A6" s="3" t="s">
        <v>11</v>
      </c>
      <c r="B6" s="3">
        <v>2.63</v>
      </c>
      <c r="C6" s="3"/>
      <c r="D6" s="3"/>
      <c r="E6" s="3"/>
      <c r="F6" s="3"/>
      <c r="U6" s="2"/>
      <c r="V6" s="2"/>
      <c r="W6" s="2"/>
      <c r="X6" s="2"/>
      <c r="Y6" s="2"/>
      <c r="Z6" s="2"/>
      <c r="AC6" s="2"/>
      <c r="AD6" s="2"/>
      <c r="AE6" s="2"/>
      <c r="AF6" s="2"/>
      <c r="AG6" s="2"/>
      <c r="AH6" s="2"/>
      <c r="AI6" s="2"/>
      <c r="AV6" s="2"/>
      <c r="AW6">
        <f>SUM(X8:X15,X29:X36,X50:X57)</f>
        <v>75000</v>
      </c>
      <c r="AX6" t="s">
        <v>44</v>
      </c>
      <c r="AY6" s="3">
        <v>75000</v>
      </c>
      <c r="AZ6" s="3" t="s">
        <v>21</v>
      </c>
      <c r="BB6" s="2"/>
    </row>
    <row r="7" spans="1:58" x14ac:dyDescent="0.2">
      <c r="A7" s="3" t="s">
        <v>178</v>
      </c>
      <c r="B7" s="3">
        <f>1000 / B6</f>
        <v>380.22813688212932</v>
      </c>
      <c r="C7" s="3"/>
      <c r="D7" s="3"/>
      <c r="E7" s="3"/>
      <c r="F7" s="3"/>
      <c r="G7" s="1" t="s">
        <v>0</v>
      </c>
      <c r="H7" s="10" t="s">
        <v>19</v>
      </c>
      <c r="I7" s="10" t="s">
        <v>20</v>
      </c>
      <c r="J7" s="10" t="s">
        <v>21</v>
      </c>
      <c r="K7" s="10" t="s">
        <v>22</v>
      </c>
      <c r="U7" s="1" t="s">
        <v>0</v>
      </c>
      <c r="V7" s="10" t="s">
        <v>19</v>
      </c>
      <c r="W7" s="10" t="s">
        <v>20</v>
      </c>
      <c r="X7" s="10" t="s">
        <v>21</v>
      </c>
      <c r="Y7" s="10" t="s">
        <v>22</v>
      </c>
      <c r="AD7" s="2"/>
      <c r="AE7" s="2"/>
      <c r="AF7" s="2"/>
      <c r="AG7" s="2"/>
      <c r="AI7" s="1" t="s">
        <v>0</v>
      </c>
      <c r="AJ7" s="10" t="s">
        <v>19</v>
      </c>
      <c r="AK7" s="10" t="s">
        <v>20</v>
      </c>
      <c r="AL7" s="10" t="s">
        <v>21</v>
      </c>
      <c r="AM7" s="10" t="s">
        <v>22</v>
      </c>
      <c r="AN7" s="26" t="s">
        <v>58</v>
      </c>
      <c r="AW7">
        <f>SUM(Y8:Y15,Y29:Y36,Y50:Y57)</f>
        <v>100000</v>
      </c>
      <c r="AX7" t="s">
        <v>44</v>
      </c>
      <c r="AY7" s="3">
        <v>100000</v>
      </c>
      <c r="AZ7" s="3" t="s">
        <v>22</v>
      </c>
      <c r="BB7" s="1" t="s">
        <v>0</v>
      </c>
      <c r="BC7" s="10" t="s">
        <v>19</v>
      </c>
      <c r="BD7" s="10" t="s">
        <v>20</v>
      </c>
      <c r="BE7" s="10" t="s">
        <v>21</v>
      </c>
      <c r="BF7" s="10" t="s">
        <v>22</v>
      </c>
    </row>
    <row r="8" spans="1:58" x14ac:dyDescent="0.2">
      <c r="A8" s="5" t="s">
        <v>13</v>
      </c>
      <c r="B8" s="3"/>
      <c r="C8" s="3"/>
      <c r="E8" s="3"/>
      <c r="F8" s="3"/>
      <c r="G8" s="9" t="s">
        <v>8</v>
      </c>
      <c r="H8" s="3">
        <v>220.49319199999999</v>
      </c>
      <c r="I8" s="3">
        <v>1019.75143</v>
      </c>
      <c r="J8" s="3">
        <v>1099.06143</v>
      </c>
      <c r="K8" s="3">
        <v>1263.02225</v>
      </c>
      <c r="U8" s="9" t="s">
        <v>8</v>
      </c>
      <c r="V8" s="15">
        <v>0</v>
      </c>
      <c r="W8" s="15">
        <v>0</v>
      </c>
      <c r="X8" s="15">
        <v>0</v>
      </c>
      <c r="Y8" s="15">
        <v>0</v>
      </c>
      <c r="AI8" s="9" t="s">
        <v>8</v>
      </c>
      <c r="AJ8" cm="1">
        <f t="array" ref="AJ8:AM10">(B5*H8:K10+B15:B17)*V8:Y10</f>
        <v>0</v>
      </c>
      <c r="AK8">
        <v>0</v>
      </c>
      <c r="AL8">
        <v>0</v>
      </c>
      <c r="AM8">
        <v>0</v>
      </c>
      <c r="AN8">
        <v>0</v>
      </c>
      <c r="BB8" s="9" t="s">
        <v>8</v>
      </c>
      <c r="BC8" cm="1">
        <f t="array" ref="BC8:BF15">H8:K15*(V8:Y15/B7)*952</f>
        <v>0</v>
      </c>
      <c r="BD8">
        <v>0</v>
      </c>
      <c r="BE8">
        <v>0</v>
      </c>
      <c r="BF8">
        <v>0</v>
      </c>
    </row>
    <row r="9" spans="1:58" x14ac:dyDescent="0.2">
      <c r="A9" s="6" t="s">
        <v>15</v>
      </c>
      <c r="B9" s="6" t="s">
        <v>16</v>
      </c>
      <c r="C9" s="6" t="s">
        <v>17</v>
      </c>
      <c r="D9" s="3" t="s">
        <v>18</v>
      </c>
      <c r="E9" s="3"/>
      <c r="F9" s="6"/>
      <c r="G9" s="9" t="s">
        <v>9</v>
      </c>
      <c r="H9" s="3">
        <v>519.32400700000005</v>
      </c>
      <c r="I9" s="3">
        <v>1155.2343100000001</v>
      </c>
      <c r="J9" s="3">
        <v>440.47644400000001</v>
      </c>
      <c r="K9" s="3">
        <v>1856.5320200000001</v>
      </c>
      <c r="U9" s="9" t="s">
        <v>9</v>
      </c>
      <c r="V9" s="15">
        <v>0</v>
      </c>
      <c r="W9" s="15">
        <v>0</v>
      </c>
      <c r="X9" s="15">
        <v>0</v>
      </c>
      <c r="Y9" s="15">
        <v>0</v>
      </c>
      <c r="AI9" s="9" t="s">
        <v>9</v>
      </c>
      <c r="AJ9">
        <v>0</v>
      </c>
      <c r="AK9">
        <v>0</v>
      </c>
      <c r="AL9">
        <v>0</v>
      </c>
      <c r="AM9">
        <v>0</v>
      </c>
      <c r="AN9">
        <v>0</v>
      </c>
      <c r="AW9" s="1" t="s">
        <v>46</v>
      </c>
      <c r="BB9" s="9" t="s">
        <v>9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s="3" t="s">
        <v>12</v>
      </c>
      <c r="B10" s="3">
        <v>3.3436923099999998</v>
      </c>
      <c r="C10" s="3">
        <v>25.072134299999998</v>
      </c>
      <c r="D10" s="3">
        <v>121.679919</v>
      </c>
      <c r="E10" s="3"/>
      <c r="F10" s="3"/>
      <c r="G10" s="9" t="s">
        <v>10</v>
      </c>
      <c r="H10" s="3">
        <v>962.97049100000004</v>
      </c>
      <c r="I10" s="3">
        <v>149.866636</v>
      </c>
      <c r="J10" s="3">
        <v>1675.98143</v>
      </c>
      <c r="K10" s="3">
        <v>2091.80017</v>
      </c>
      <c r="U10" s="9" t="s">
        <v>10</v>
      </c>
      <c r="V10" s="15">
        <v>0</v>
      </c>
      <c r="W10" s="15">
        <v>0</v>
      </c>
      <c r="X10" s="15">
        <v>0</v>
      </c>
      <c r="Y10" s="15">
        <v>0</v>
      </c>
      <c r="AB10" s="22" t="s">
        <v>49</v>
      </c>
      <c r="AC10" s="23" t="s">
        <v>50</v>
      </c>
      <c r="AD10" s="23" t="s">
        <v>51</v>
      </c>
      <c r="AE10" s="23" t="s">
        <v>52</v>
      </c>
      <c r="AF10" s="23" t="s">
        <v>2</v>
      </c>
      <c r="AI10" s="9" t="s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W10">
        <f>SUM(V18:V21,V39:V42,V60:V63)</f>
        <v>7000</v>
      </c>
      <c r="AX10" t="s">
        <v>47</v>
      </c>
      <c r="AY10" s="3">
        <v>7000</v>
      </c>
      <c r="AZ10" s="3" t="s">
        <v>25</v>
      </c>
      <c r="BB10" s="9" t="s">
        <v>10</v>
      </c>
      <c r="BC10">
        <v>0</v>
      </c>
      <c r="BD10">
        <v>0</v>
      </c>
      <c r="BE10">
        <v>0</v>
      </c>
      <c r="BF10">
        <v>0</v>
      </c>
    </row>
    <row r="11" spans="1:58" x14ac:dyDescent="0.2">
      <c r="A11" s="3" t="s">
        <v>14</v>
      </c>
      <c r="B11" s="3">
        <v>3.4233846200000002</v>
      </c>
      <c r="C11" s="3">
        <v>31.232343700000001</v>
      </c>
      <c r="D11" s="3">
        <v>121.46910200000001</v>
      </c>
      <c r="E11" s="3"/>
      <c r="F11" s="3"/>
      <c r="G11" s="21" t="s">
        <v>53</v>
      </c>
      <c r="H11">
        <v>98.065420090407898</v>
      </c>
      <c r="I11">
        <v>819.022410170645</v>
      </c>
      <c r="J11">
        <v>988.03782801968202</v>
      </c>
      <c r="K11">
        <v>1530.47935919308</v>
      </c>
      <c r="M11" s="3"/>
      <c r="N11" s="3"/>
      <c r="O11" s="3"/>
      <c r="P11" s="3"/>
      <c r="Q11" s="3"/>
      <c r="R11" s="3"/>
      <c r="S11" s="3"/>
      <c r="T11" s="3"/>
      <c r="U11" s="21" t="s">
        <v>53</v>
      </c>
      <c r="V11" s="15">
        <v>0</v>
      </c>
      <c r="W11" s="15">
        <v>0</v>
      </c>
      <c r="X11" s="15">
        <v>0</v>
      </c>
      <c r="Y11" s="15">
        <v>0</v>
      </c>
      <c r="AA11" s="21" t="s">
        <v>53</v>
      </c>
      <c r="AB11" s="15">
        <v>1</v>
      </c>
      <c r="AC11">
        <v>7000000</v>
      </c>
      <c r="AD11">
        <v>4.7682692309999997</v>
      </c>
      <c r="AE11">
        <v>1500000</v>
      </c>
      <c r="AF11">
        <v>25000</v>
      </c>
      <c r="AI11" s="21" t="s">
        <v>53</v>
      </c>
      <c r="AJ11" cm="1">
        <f t="array" ref="AJ11:AM15">(B5*H11:K15+AD11:AD15)*V11:Y15</f>
        <v>0</v>
      </c>
      <c r="AK11">
        <v>0</v>
      </c>
      <c r="AL11">
        <v>0</v>
      </c>
      <c r="AM11">
        <v>0</v>
      </c>
      <c r="AN11" cm="1">
        <f t="array" ref="AN11:AN15">AB11:AB15*(AE11:AE15+AC11:AC15)</f>
        <v>8500000</v>
      </c>
      <c r="AW11">
        <f>SUM(W18:W21,W39:W42,W60:W63)</f>
        <v>6000</v>
      </c>
      <c r="AX11" t="s">
        <v>47</v>
      </c>
      <c r="AY11" s="3">
        <v>6000</v>
      </c>
      <c r="AZ11" s="3" t="s">
        <v>26</v>
      </c>
      <c r="BB11" s="21" t="s">
        <v>53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 s="3"/>
      <c r="B12" s="3"/>
      <c r="C12" s="3"/>
      <c r="D12" s="3"/>
      <c r="E12" s="3"/>
      <c r="F12" s="3"/>
      <c r="G12" s="21" t="s">
        <v>54</v>
      </c>
      <c r="H12">
        <v>367.877874525594</v>
      </c>
      <c r="I12">
        <v>1216.4843822021501</v>
      </c>
      <c r="J12">
        <v>1098.9173202546001</v>
      </c>
      <c r="K12">
        <v>1120.4841202078801</v>
      </c>
      <c r="M12" s="3"/>
      <c r="N12" s="3"/>
      <c r="O12" s="3"/>
      <c r="P12" s="3"/>
      <c r="Q12" s="3"/>
      <c r="R12" s="3"/>
      <c r="S12" s="3"/>
      <c r="T12" s="3"/>
      <c r="U12" s="21" t="s">
        <v>54</v>
      </c>
      <c r="V12" s="15">
        <v>0</v>
      </c>
      <c r="W12" s="15">
        <v>0</v>
      </c>
      <c r="X12" s="15">
        <v>0</v>
      </c>
      <c r="Y12" s="15">
        <v>0</v>
      </c>
      <c r="AA12" s="21" t="s">
        <v>54</v>
      </c>
      <c r="AB12" s="15">
        <v>1</v>
      </c>
      <c r="AC12">
        <v>7000000</v>
      </c>
      <c r="AD12">
        <v>4.7096153850000002</v>
      </c>
      <c r="AE12">
        <v>1500000</v>
      </c>
      <c r="AF12">
        <v>50000</v>
      </c>
      <c r="AH12" s="3"/>
      <c r="AI12" s="21" t="s">
        <v>54</v>
      </c>
      <c r="AJ12">
        <v>0</v>
      </c>
      <c r="AK12">
        <v>0</v>
      </c>
      <c r="AL12">
        <v>0</v>
      </c>
      <c r="AM12">
        <v>0</v>
      </c>
      <c r="AN12">
        <v>8500000</v>
      </c>
      <c r="AW12">
        <f>SUM(X18:X21,X39:X42,X60:X63)</f>
        <v>114500</v>
      </c>
      <c r="AX12" t="s">
        <v>47</v>
      </c>
      <c r="AY12" s="3">
        <v>114500</v>
      </c>
      <c r="AZ12" s="3" t="s">
        <v>27</v>
      </c>
      <c r="BB12" s="21" t="s">
        <v>54</v>
      </c>
      <c r="BC12">
        <v>0</v>
      </c>
      <c r="BD12">
        <v>0</v>
      </c>
      <c r="BE12">
        <v>0</v>
      </c>
      <c r="BF12">
        <v>0</v>
      </c>
    </row>
    <row r="13" spans="1:58" x14ac:dyDescent="0.2">
      <c r="A13" s="7" t="s">
        <v>23</v>
      </c>
      <c r="B13" s="3"/>
      <c r="C13" s="3"/>
      <c r="D13" s="3"/>
      <c r="E13" s="3"/>
      <c r="F13" s="3"/>
      <c r="G13" s="21" t="s">
        <v>55</v>
      </c>
      <c r="H13">
        <v>1559.09817345998</v>
      </c>
      <c r="I13">
        <v>714.30198187844996</v>
      </c>
      <c r="J13">
        <v>1950.44679609537</v>
      </c>
      <c r="K13">
        <v>2855.2500719434802</v>
      </c>
      <c r="L13" s="3"/>
      <c r="M13" s="3"/>
      <c r="N13" s="3"/>
      <c r="O13" s="3"/>
      <c r="P13" s="3"/>
      <c r="Q13" s="3"/>
      <c r="R13" s="3"/>
      <c r="S13" s="3"/>
      <c r="T13" s="3"/>
      <c r="U13" s="21" t="s">
        <v>55</v>
      </c>
      <c r="V13" s="15">
        <v>0</v>
      </c>
      <c r="W13" s="15">
        <v>0</v>
      </c>
      <c r="X13" s="15">
        <v>0</v>
      </c>
      <c r="Y13" s="15">
        <v>0</v>
      </c>
      <c r="AA13" s="21" t="s">
        <v>55</v>
      </c>
      <c r="AB13" s="15">
        <v>1</v>
      </c>
      <c r="AC13">
        <v>7000000</v>
      </c>
      <c r="AD13">
        <v>7.926307692</v>
      </c>
      <c r="AE13">
        <v>1500000</v>
      </c>
      <c r="AF13">
        <v>20000</v>
      </c>
      <c r="AG13" s="3"/>
      <c r="AH13" s="3"/>
      <c r="AI13" s="21" t="s">
        <v>55</v>
      </c>
      <c r="AJ13">
        <v>0</v>
      </c>
      <c r="AK13">
        <v>0</v>
      </c>
      <c r="AL13">
        <v>0</v>
      </c>
      <c r="AM13">
        <v>0</v>
      </c>
      <c r="AN13">
        <v>8500000</v>
      </c>
      <c r="AW13">
        <f>SUM(Y18:Y21,Y39:Y42,Y60:Y63)</f>
        <v>3000</v>
      </c>
      <c r="AX13" t="s">
        <v>47</v>
      </c>
      <c r="AY13" s="3">
        <v>3000</v>
      </c>
      <c r="AZ13" s="3" t="s">
        <v>28</v>
      </c>
      <c r="BB13" s="21" t="s">
        <v>55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 s="3" t="s">
        <v>15</v>
      </c>
      <c r="B14" s="3" t="s">
        <v>24</v>
      </c>
      <c r="C14" s="3" t="s">
        <v>17</v>
      </c>
      <c r="D14" s="3" t="s">
        <v>18</v>
      </c>
      <c r="E14" s="3"/>
      <c r="F14" s="3"/>
      <c r="G14" s="21" t="s">
        <v>56</v>
      </c>
      <c r="H14">
        <v>1266.1262677673999</v>
      </c>
      <c r="I14">
        <v>1758.7329724953199</v>
      </c>
      <c r="J14">
        <v>367.81425173509098</v>
      </c>
      <c r="K14">
        <v>2462.37046531326</v>
      </c>
      <c r="L14" s="3"/>
      <c r="M14" s="3"/>
      <c r="N14" s="3"/>
      <c r="O14" s="3"/>
      <c r="P14" s="3"/>
      <c r="Q14" s="3"/>
      <c r="R14" s="3"/>
      <c r="S14" s="3"/>
      <c r="T14" s="3"/>
      <c r="U14" s="21" t="s">
        <v>56</v>
      </c>
      <c r="V14" s="15">
        <v>0</v>
      </c>
      <c r="W14" s="15">
        <v>0</v>
      </c>
      <c r="X14" s="15">
        <v>0</v>
      </c>
      <c r="Y14" s="15">
        <v>0</v>
      </c>
      <c r="AA14" s="21" t="s">
        <v>56</v>
      </c>
      <c r="AB14" s="15">
        <v>1</v>
      </c>
      <c r="AC14">
        <v>7000000</v>
      </c>
      <c r="AD14">
        <v>4.841307692</v>
      </c>
      <c r="AE14">
        <v>1500000</v>
      </c>
      <c r="AF14">
        <v>60000</v>
      </c>
      <c r="AI14" s="21" t="s">
        <v>56</v>
      </c>
      <c r="AJ14">
        <v>0</v>
      </c>
      <c r="AK14">
        <v>0</v>
      </c>
      <c r="AL14">
        <v>0</v>
      </c>
      <c r="AM14">
        <v>0</v>
      </c>
      <c r="AN14">
        <v>8500000</v>
      </c>
      <c r="AW14">
        <f>SUM(Z18:Z21,Z39:Z42,Z60:Z63)</f>
        <v>16500</v>
      </c>
      <c r="AX14" t="s">
        <v>47</v>
      </c>
      <c r="AY14" s="3">
        <v>16500</v>
      </c>
      <c r="AZ14" s="3" t="s">
        <v>29</v>
      </c>
      <c r="BB14" s="21" t="s">
        <v>56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 s="3" t="s">
        <v>8</v>
      </c>
      <c r="B15" s="3">
        <v>6.5338846200000003</v>
      </c>
      <c r="C15" s="3">
        <v>48.110300000000002</v>
      </c>
      <c r="D15" s="3">
        <v>16.569600000000001</v>
      </c>
      <c r="E15" s="3"/>
      <c r="F15" s="3"/>
      <c r="G15" s="21" t="s">
        <v>57</v>
      </c>
      <c r="H15">
        <v>437.82381957224999</v>
      </c>
      <c r="I15">
        <v>1272.17724890417</v>
      </c>
      <c r="J15">
        <v>554.54740671752097</v>
      </c>
      <c r="K15">
        <v>1592.6403948331599</v>
      </c>
      <c r="L15" s="3"/>
      <c r="M15" s="3"/>
      <c r="N15" s="3"/>
      <c r="O15" s="3"/>
      <c r="P15" s="3"/>
      <c r="Q15" s="3"/>
      <c r="R15" s="3"/>
      <c r="S15" s="3"/>
      <c r="T15" s="3"/>
      <c r="U15" s="21" t="s">
        <v>57</v>
      </c>
      <c r="V15" s="15">
        <v>0</v>
      </c>
      <c r="W15" s="15">
        <v>0</v>
      </c>
      <c r="X15" s="15">
        <v>0</v>
      </c>
      <c r="Y15" s="15">
        <v>0</v>
      </c>
      <c r="AA15" s="21" t="s">
        <v>57</v>
      </c>
      <c r="AB15" s="15">
        <v>1</v>
      </c>
      <c r="AC15">
        <v>7000000</v>
      </c>
      <c r="AD15">
        <v>4.3022692310000004</v>
      </c>
      <c r="AE15">
        <v>1500000</v>
      </c>
      <c r="AF15">
        <v>45000</v>
      </c>
      <c r="AI15" s="21" t="s">
        <v>57</v>
      </c>
      <c r="AJ15">
        <v>0</v>
      </c>
      <c r="AK15">
        <v>0</v>
      </c>
      <c r="AL15">
        <v>0</v>
      </c>
      <c r="AM15">
        <v>0</v>
      </c>
      <c r="AN15">
        <v>8500000</v>
      </c>
      <c r="AW15">
        <f>SUM(AA18:AA21,AA39:AA42,AA60:AA63)</f>
        <v>6500</v>
      </c>
      <c r="AX15" t="s">
        <v>47</v>
      </c>
      <c r="AY15" s="3">
        <v>6500</v>
      </c>
      <c r="AZ15" s="3" t="s">
        <v>30</v>
      </c>
      <c r="BB15" s="21" t="s">
        <v>57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 s="3" t="s">
        <v>9</v>
      </c>
      <c r="B16" s="3">
        <v>4.3022692300000003</v>
      </c>
      <c r="C16" s="3">
        <v>54.361699999999999</v>
      </c>
      <c r="D16" s="3">
        <v>18.651399999999999</v>
      </c>
      <c r="E16" s="3"/>
      <c r="F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AW16">
        <f>SUM(AB18:AB21,AB39:AB42,AB60:AB63)</f>
        <v>500</v>
      </c>
      <c r="AX16" t="s">
        <v>47</v>
      </c>
      <c r="AY16" s="3">
        <v>500</v>
      </c>
      <c r="AZ16" s="3" t="s">
        <v>31</v>
      </c>
    </row>
    <row r="17" spans="1:66" x14ac:dyDescent="0.2">
      <c r="A17" s="3" t="s">
        <v>10</v>
      </c>
      <c r="B17" s="3">
        <v>5.6759230799999996</v>
      </c>
      <c r="C17" s="3">
        <v>49.009700000000002</v>
      </c>
      <c r="D17" s="3">
        <v>2.5478999999999998</v>
      </c>
      <c r="E17" s="3"/>
      <c r="F17" s="4"/>
      <c r="G17" s="1" t="s">
        <v>0</v>
      </c>
      <c r="H17" s="11" t="s">
        <v>25</v>
      </c>
      <c r="I17" s="11" t="s">
        <v>26</v>
      </c>
      <c r="J17" s="11" t="s">
        <v>27</v>
      </c>
      <c r="K17" s="11" t="s">
        <v>28</v>
      </c>
      <c r="L17" s="11" t="s">
        <v>29</v>
      </c>
      <c r="M17" s="11" t="s">
        <v>30</v>
      </c>
      <c r="N17" s="11" t="s">
        <v>31</v>
      </c>
      <c r="O17" s="11" t="s">
        <v>32</v>
      </c>
      <c r="P17" s="11" t="s">
        <v>33</v>
      </c>
      <c r="Q17" s="11" t="s">
        <v>34</v>
      </c>
      <c r="R17" s="11" t="s">
        <v>35</v>
      </c>
      <c r="S17" s="11" t="s">
        <v>36</v>
      </c>
      <c r="U17" s="1" t="s">
        <v>0</v>
      </c>
      <c r="V17" s="11" t="s">
        <v>25</v>
      </c>
      <c r="W17" s="11" t="s">
        <v>26</v>
      </c>
      <c r="X17" s="11" t="s">
        <v>27</v>
      </c>
      <c r="Y17" s="11" t="s">
        <v>28</v>
      </c>
      <c r="Z17" s="11" t="s">
        <v>29</v>
      </c>
      <c r="AA17" s="11" t="s">
        <v>30</v>
      </c>
      <c r="AB17" s="11" t="s">
        <v>31</v>
      </c>
      <c r="AC17" s="11" t="s">
        <v>32</v>
      </c>
      <c r="AD17" s="11" t="s">
        <v>33</v>
      </c>
      <c r="AE17" s="11" t="s">
        <v>34</v>
      </c>
      <c r="AF17" s="11" t="s">
        <v>35</v>
      </c>
      <c r="AG17" s="11" t="s">
        <v>36</v>
      </c>
      <c r="AI17" s="1" t="s">
        <v>0</v>
      </c>
      <c r="AJ17" s="11" t="s">
        <v>25</v>
      </c>
      <c r="AK17" s="11" t="s">
        <v>26</v>
      </c>
      <c r="AL17" s="11" t="s">
        <v>27</v>
      </c>
      <c r="AM17" s="11" t="s">
        <v>28</v>
      </c>
      <c r="AN17" s="11" t="s">
        <v>29</v>
      </c>
      <c r="AO17" s="11" t="s">
        <v>30</v>
      </c>
      <c r="AP17" s="11" t="s">
        <v>31</v>
      </c>
      <c r="AQ17" s="11" t="s">
        <v>32</v>
      </c>
      <c r="AR17" s="11" t="s">
        <v>33</v>
      </c>
      <c r="AS17" s="11" t="s">
        <v>34</v>
      </c>
      <c r="AT17" s="11" t="s">
        <v>35</v>
      </c>
      <c r="AU17" s="11" t="s">
        <v>36</v>
      </c>
      <c r="AW17">
        <f>SUM(AC18:AC21,AC39:AC42,AC60:AC63)</f>
        <v>22000</v>
      </c>
      <c r="AX17" t="s">
        <v>47</v>
      </c>
      <c r="AY17" s="3">
        <v>22000</v>
      </c>
      <c r="AZ17" s="3" t="s">
        <v>32</v>
      </c>
      <c r="BB17" s="1" t="s">
        <v>0</v>
      </c>
      <c r="BC17" s="11" t="s">
        <v>25</v>
      </c>
      <c r="BD17" s="11" t="s">
        <v>26</v>
      </c>
      <c r="BE17" s="11" t="s">
        <v>27</v>
      </c>
      <c r="BF17" s="11" t="s">
        <v>28</v>
      </c>
      <c r="BG17" s="11" t="s">
        <v>29</v>
      </c>
      <c r="BH17" s="11" t="s">
        <v>30</v>
      </c>
      <c r="BI17" s="11" t="s">
        <v>31</v>
      </c>
      <c r="BJ17" s="11" t="s">
        <v>32</v>
      </c>
      <c r="BK17" s="11" t="s">
        <v>33</v>
      </c>
      <c r="BL17" s="11" t="s">
        <v>34</v>
      </c>
      <c r="BM17" s="11" t="s">
        <v>35</v>
      </c>
      <c r="BN17" s="11" t="s">
        <v>36</v>
      </c>
    </row>
    <row r="18" spans="1:66" x14ac:dyDescent="0.2">
      <c r="A18" s="4"/>
      <c r="B18" s="3"/>
      <c r="C18" s="3"/>
      <c r="D18" s="3"/>
      <c r="E18" s="3"/>
      <c r="F18" s="3"/>
      <c r="G18" s="10" t="s">
        <v>19</v>
      </c>
      <c r="H18" s="3">
        <v>1280.7990199999999</v>
      </c>
      <c r="I18" s="3">
        <v>1831.83339</v>
      </c>
      <c r="J18" s="3">
        <v>1480.01845</v>
      </c>
      <c r="K18" s="3">
        <v>1291.8657499999999</v>
      </c>
      <c r="L18" s="3">
        <v>361.84678400000001</v>
      </c>
      <c r="M18" s="3">
        <v>1185.02241</v>
      </c>
      <c r="N18" s="3">
        <v>934.02313500000002</v>
      </c>
      <c r="O18" s="3">
        <v>557.31895899999995</v>
      </c>
      <c r="P18" s="3">
        <v>769.99873300000002</v>
      </c>
      <c r="Q18" s="3">
        <v>2148.6587500000001</v>
      </c>
      <c r="R18" s="3">
        <v>2316.5231899999999</v>
      </c>
      <c r="S18" s="3">
        <v>1590.5757900000001</v>
      </c>
      <c r="T18" s="3"/>
      <c r="U18" s="10" t="s">
        <v>19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I18" s="10" t="s">
        <v>19</v>
      </c>
      <c r="AJ18" cm="1">
        <f t="array" ref="AJ18:AU21">(B5*H18:S21+B21:B24)*V18:AG21</f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f>SUM(AD18:AD21,AD39:AD42,AD60:AD63)</f>
        <v>13000</v>
      </c>
      <c r="AX18" t="s">
        <v>47</v>
      </c>
      <c r="AY18" s="3">
        <v>13000</v>
      </c>
      <c r="AZ18" s="3" t="s">
        <v>33</v>
      </c>
      <c r="BB18" s="10" t="s">
        <v>19</v>
      </c>
      <c r="BC18" cm="1">
        <f t="array" ref="BC18:BN21">H18:S21*(V18:AG21/B7)*952</f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 s="13" t="s">
        <v>37</v>
      </c>
      <c r="F19" s="3"/>
      <c r="G19" s="10" t="s">
        <v>20</v>
      </c>
      <c r="H19" s="3">
        <v>416.56545699999998</v>
      </c>
      <c r="I19" s="3">
        <v>2530.90245</v>
      </c>
      <c r="J19" s="3">
        <v>2141.5278499999999</v>
      </c>
      <c r="K19" s="3">
        <v>564.91897100000006</v>
      </c>
      <c r="L19" s="3">
        <v>675.90874699999995</v>
      </c>
      <c r="M19" s="3">
        <v>312.09291200000001</v>
      </c>
      <c r="N19" s="3">
        <v>172.38078300000001</v>
      </c>
      <c r="O19" s="3">
        <v>622.62840600000004</v>
      </c>
      <c r="P19" s="3">
        <v>1497.87247</v>
      </c>
      <c r="Q19" s="3">
        <v>1388.1726100000001</v>
      </c>
      <c r="R19" s="3">
        <v>1586.1347900000001</v>
      </c>
      <c r="S19" s="3">
        <v>1984.94219</v>
      </c>
      <c r="T19" s="3"/>
      <c r="U19" s="10" t="s">
        <v>20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I19" s="10" t="s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f>SUM(AE18:AE21,AE39:AE42,AE60:AE63)</f>
        <v>1000</v>
      </c>
      <c r="AX19" t="s">
        <v>47</v>
      </c>
      <c r="AY19" s="3">
        <v>1000</v>
      </c>
      <c r="AZ19" s="3" t="s">
        <v>34</v>
      </c>
      <c r="BB19" s="10" t="s">
        <v>20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 s="3" t="s">
        <v>15</v>
      </c>
      <c r="B20" s="3" t="s">
        <v>24</v>
      </c>
      <c r="C20" s="3" t="s">
        <v>17</v>
      </c>
      <c r="D20" s="3" t="s">
        <v>18</v>
      </c>
      <c r="E20" s="3" t="s">
        <v>38</v>
      </c>
      <c r="F20" s="3"/>
      <c r="G20" s="10" t="s">
        <v>21</v>
      </c>
      <c r="H20" s="3">
        <v>1980.3791900000001</v>
      </c>
      <c r="I20" s="3">
        <v>2361.1644700000002</v>
      </c>
      <c r="J20" s="3">
        <v>2103.7152599999999</v>
      </c>
      <c r="K20" s="3">
        <v>2081.5314899999998</v>
      </c>
      <c r="L20" s="3">
        <v>1273.04423</v>
      </c>
      <c r="M20" s="3">
        <v>1702.8825099999999</v>
      </c>
      <c r="N20" s="3">
        <v>1665.1453899999999</v>
      </c>
      <c r="O20" s="3">
        <v>943.28114500000004</v>
      </c>
      <c r="P20" s="3">
        <v>222.38847799999999</v>
      </c>
      <c r="Q20" s="3">
        <v>2940.4324900000001</v>
      </c>
      <c r="R20" s="3">
        <v>3129.52936</v>
      </c>
      <c r="S20" s="3">
        <v>713.93908599999997</v>
      </c>
      <c r="T20" s="3"/>
      <c r="U20" s="10" t="s">
        <v>21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3"/>
      <c r="AI20" s="10" t="s">
        <v>21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f>SUM(AF18:AF21,AF39:AF42,AF60:AF63)</f>
        <v>44000</v>
      </c>
      <c r="AX20" t="s">
        <v>47</v>
      </c>
      <c r="AY20" s="3">
        <v>44000</v>
      </c>
      <c r="AZ20" s="3" t="s">
        <v>35</v>
      </c>
      <c r="BB20" s="10" t="s">
        <v>21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 s="3" t="s">
        <v>19</v>
      </c>
      <c r="B21" s="3">
        <v>4.7682692299999996</v>
      </c>
      <c r="C21" s="3">
        <v>50.029000000000003</v>
      </c>
      <c r="D21" s="3">
        <v>15.808999999999999</v>
      </c>
      <c r="E21" s="3">
        <v>45000</v>
      </c>
      <c r="F21" s="3"/>
      <c r="G21" s="10" t="s">
        <v>22</v>
      </c>
      <c r="H21" s="3">
        <v>2319.27882</v>
      </c>
      <c r="I21" s="3">
        <v>392.73576100000002</v>
      </c>
      <c r="J21" s="3">
        <v>9.1108617400000007</v>
      </c>
      <c r="K21" s="3">
        <v>2163.5780500000001</v>
      </c>
      <c r="L21" s="3">
        <v>1496.75197</v>
      </c>
      <c r="M21" s="3">
        <v>2453.0090399999999</v>
      </c>
      <c r="N21" s="3">
        <v>2049.0579200000002</v>
      </c>
      <c r="O21" s="3">
        <v>2023.5485900000001</v>
      </c>
      <c r="P21" s="3">
        <v>1874.7082700000001</v>
      </c>
      <c r="Q21" s="3">
        <v>2775.6073999999999</v>
      </c>
      <c r="R21" s="3">
        <v>2849.5451200000002</v>
      </c>
      <c r="S21" s="3">
        <v>2806.9366500000001</v>
      </c>
      <c r="T21" s="3"/>
      <c r="U21" s="10" t="s">
        <v>22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3"/>
      <c r="AI21" s="10" t="s">
        <v>22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W21">
        <f>SUM(AG18:AG21,AG39:AG42,AG60:AG63)</f>
        <v>500</v>
      </c>
      <c r="AX21" t="s">
        <v>47</v>
      </c>
      <c r="AY21" s="3">
        <v>500</v>
      </c>
      <c r="AZ21" s="3" t="s">
        <v>36</v>
      </c>
      <c r="BB21" s="10" t="s">
        <v>22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 s="3" t="s">
        <v>20</v>
      </c>
      <c r="B22" s="3">
        <v>5.6759230799999996</v>
      </c>
      <c r="C22" s="3">
        <v>50.334299999999999</v>
      </c>
      <c r="D22" s="3">
        <v>2.9289999999999998</v>
      </c>
      <c r="E22" s="3">
        <v>150000</v>
      </c>
      <c r="F22" s="3"/>
      <c r="G22" s="3"/>
      <c r="H22" s="4"/>
    </row>
    <row r="23" spans="1:66" x14ac:dyDescent="0.2">
      <c r="A23" s="3" t="s">
        <v>21</v>
      </c>
      <c r="B23" s="3">
        <v>4.42603846</v>
      </c>
      <c r="C23" s="3">
        <v>56.896000000000001</v>
      </c>
      <c r="D23" s="3">
        <v>24.045999999999999</v>
      </c>
      <c r="E23" s="3">
        <v>75000</v>
      </c>
      <c r="F23" s="3"/>
      <c r="G23" s="3"/>
      <c r="H23" s="3"/>
      <c r="AB23" s="1"/>
      <c r="AW23" s="1" t="s">
        <v>48</v>
      </c>
    </row>
    <row r="24" spans="1:66" x14ac:dyDescent="0.2">
      <c r="A24" s="3" t="s">
        <v>22</v>
      </c>
      <c r="B24" s="3">
        <v>7.0865</v>
      </c>
      <c r="C24" s="3">
        <v>38.043999999999997</v>
      </c>
      <c r="D24" s="3">
        <v>23.798999999999999</v>
      </c>
      <c r="E24" s="3">
        <v>100000</v>
      </c>
      <c r="F24" s="3"/>
      <c r="G24" s="1" t="s">
        <v>63</v>
      </c>
      <c r="H24" s="9" t="s">
        <v>8</v>
      </c>
      <c r="I24" s="9" t="s">
        <v>9</v>
      </c>
      <c r="J24" s="9" t="s">
        <v>10</v>
      </c>
      <c r="U24" s="4" t="s">
        <v>63</v>
      </c>
      <c r="V24" s="9" t="s">
        <v>8</v>
      </c>
      <c r="W24" s="9" t="s">
        <v>9</v>
      </c>
      <c r="X24" s="9" t="s">
        <v>10</v>
      </c>
      <c r="AB24" s="1"/>
      <c r="AH24" s="3"/>
      <c r="AI24" s="4" t="s">
        <v>63</v>
      </c>
      <c r="AJ24" s="9" t="s">
        <v>8</v>
      </c>
      <c r="AK24" s="9" t="s">
        <v>9</v>
      </c>
      <c r="AL24" s="9" t="s">
        <v>10</v>
      </c>
      <c r="AW24">
        <f>SUM(V4:V5,V25:V26,V46:V47)</f>
        <v>0</v>
      </c>
      <c r="AX24" t="s">
        <v>47</v>
      </c>
      <c r="AY24">
        <f>SUM(V8:Y8,V29:Y29,V50:Y50)</f>
        <v>0</v>
      </c>
      <c r="AZ24" s="3" t="s">
        <v>8</v>
      </c>
      <c r="BB24" s="4" t="s">
        <v>63</v>
      </c>
      <c r="BC24" s="9" t="s">
        <v>8</v>
      </c>
      <c r="BD24" s="9" t="s">
        <v>9</v>
      </c>
      <c r="BE24" s="9" t="s">
        <v>10</v>
      </c>
    </row>
    <row r="25" spans="1:66" x14ac:dyDescent="0.2">
      <c r="A25" s="3"/>
      <c r="B25" s="3"/>
      <c r="C25" s="3"/>
      <c r="D25" s="3"/>
      <c r="E25" s="3"/>
      <c r="F25" s="3"/>
      <c r="G25" s="25" t="s">
        <v>12</v>
      </c>
      <c r="H25" s="30">
        <v>1E+30</v>
      </c>
      <c r="I25" s="30">
        <v>1E+30</v>
      </c>
      <c r="J25" s="30">
        <v>1E+30</v>
      </c>
      <c r="K25" s="29"/>
      <c r="U25" s="8" t="s">
        <v>12</v>
      </c>
      <c r="V25">
        <v>0</v>
      </c>
      <c r="W25">
        <v>0</v>
      </c>
      <c r="X25">
        <v>0</v>
      </c>
      <c r="AG25" s="3"/>
      <c r="AH25" s="3"/>
      <c r="AI25" s="8" t="s">
        <v>12</v>
      </c>
      <c r="AJ25" s="3">
        <v>0</v>
      </c>
      <c r="AK25" s="3">
        <v>0</v>
      </c>
      <c r="AL25" s="3">
        <v>0</v>
      </c>
      <c r="AW25">
        <f>SUM(W4:W5,W25:W26,W46:W47)</f>
        <v>34500</v>
      </c>
      <c r="AX25" t="s">
        <v>47</v>
      </c>
      <c r="AY25">
        <f>SUM(V9:Y9,V30:Y30,V51:Y51)</f>
        <v>34500</v>
      </c>
      <c r="AZ25" s="3" t="s">
        <v>9</v>
      </c>
      <c r="BB25" s="8" t="s">
        <v>12</v>
      </c>
      <c r="BC25" s="3">
        <v>0</v>
      </c>
      <c r="BD25" s="3">
        <v>0</v>
      </c>
      <c r="BE25" s="3">
        <v>0</v>
      </c>
    </row>
    <row r="26" spans="1:66" x14ac:dyDescent="0.2">
      <c r="A26" s="12" t="s">
        <v>40</v>
      </c>
      <c r="B26" s="3"/>
      <c r="C26" s="3"/>
      <c r="D26" s="3"/>
      <c r="E26" s="3"/>
      <c r="F26" s="3"/>
      <c r="G26" s="25" t="s">
        <v>14</v>
      </c>
      <c r="H26" s="30">
        <v>1E+30</v>
      </c>
      <c r="I26" s="30">
        <v>1E+30</v>
      </c>
      <c r="J26" s="30">
        <v>1E+30</v>
      </c>
      <c r="M26" s="30"/>
      <c r="U26" s="8" t="s">
        <v>14</v>
      </c>
      <c r="V26">
        <v>0</v>
      </c>
      <c r="W26">
        <v>0</v>
      </c>
      <c r="X26">
        <v>0</v>
      </c>
      <c r="AC26" s="3"/>
      <c r="AD26" s="3"/>
      <c r="AE26" s="3"/>
      <c r="AF26" s="3"/>
      <c r="AG26" s="3"/>
      <c r="AH26" s="3"/>
      <c r="AI26" s="8" t="s">
        <v>14</v>
      </c>
      <c r="AJ26" s="3">
        <v>0</v>
      </c>
      <c r="AK26" s="3">
        <v>0</v>
      </c>
      <c r="AL26" s="3">
        <v>0</v>
      </c>
      <c r="AW26">
        <f>SUM(X4:X5,X25:X26,X46:X47)</f>
        <v>0</v>
      </c>
      <c r="AX26" t="s">
        <v>47</v>
      </c>
      <c r="AY26">
        <f>SUM(V10:Y10,V31:Y31,V52:Y52)</f>
        <v>0</v>
      </c>
      <c r="AZ26" s="3" t="s">
        <v>10</v>
      </c>
      <c r="BB26" s="8" t="s">
        <v>14</v>
      </c>
      <c r="BC26" s="3">
        <v>0</v>
      </c>
      <c r="BD26" s="3">
        <v>0</v>
      </c>
      <c r="BE26" s="3">
        <v>0</v>
      </c>
    </row>
    <row r="27" spans="1:66" x14ac:dyDescent="0.2">
      <c r="A27" s="3" t="s">
        <v>15</v>
      </c>
      <c r="B27" s="3" t="s">
        <v>3</v>
      </c>
      <c r="C27" s="3" t="s">
        <v>17</v>
      </c>
      <c r="D27" s="3" t="s">
        <v>18</v>
      </c>
      <c r="E27" s="3"/>
      <c r="F27" s="3"/>
      <c r="U27" s="2"/>
      <c r="V27" s="2"/>
      <c r="W27" s="2"/>
      <c r="X27" s="2"/>
      <c r="Y27" s="2"/>
      <c r="Z27" s="2"/>
      <c r="AC27" s="2"/>
      <c r="AD27" s="2"/>
      <c r="AE27" s="2"/>
      <c r="AF27" s="2"/>
      <c r="AG27" s="2"/>
      <c r="AI27" s="2"/>
      <c r="AW27">
        <f>SUM(V8:V15,V29:V36,V50:V57)</f>
        <v>41500</v>
      </c>
      <c r="AX27" t="s">
        <v>47</v>
      </c>
      <c r="AY27">
        <f>SUM(V18:AG18,V39:AG39,V60:AG60)</f>
        <v>41500</v>
      </c>
      <c r="AZ27" t="s">
        <v>19</v>
      </c>
      <c r="BB27" s="2"/>
    </row>
    <row r="28" spans="1:66" x14ac:dyDescent="0.2">
      <c r="A28" s="3" t="s">
        <v>25</v>
      </c>
      <c r="B28" s="3">
        <v>7000</v>
      </c>
      <c r="C28" s="3">
        <v>47.9556915</v>
      </c>
      <c r="D28" s="3">
        <v>-1.495366</v>
      </c>
      <c r="E28" s="3"/>
      <c r="F28" s="3"/>
      <c r="G28" s="1" t="s">
        <v>63</v>
      </c>
      <c r="H28" s="10" t="s">
        <v>19</v>
      </c>
      <c r="I28" s="10" t="s">
        <v>20</v>
      </c>
      <c r="J28" s="10" t="s">
        <v>21</v>
      </c>
      <c r="K28" s="10" t="s">
        <v>22</v>
      </c>
      <c r="U28" s="1" t="s">
        <v>63</v>
      </c>
      <c r="V28" s="10" t="s">
        <v>19</v>
      </c>
      <c r="W28" s="10" t="s">
        <v>20</v>
      </c>
      <c r="X28" s="10" t="s">
        <v>21</v>
      </c>
      <c r="Y28" s="10" t="s">
        <v>22</v>
      </c>
      <c r="AI28" s="1" t="s">
        <v>63</v>
      </c>
      <c r="AJ28" s="10" t="s">
        <v>19</v>
      </c>
      <c r="AK28" s="10" t="s">
        <v>20</v>
      </c>
      <c r="AL28" s="10" t="s">
        <v>21</v>
      </c>
      <c r="AM28" s="10" t="s">
        <v>22</v>
      </c>
      <c r="AW28">
        <f>SUM(W8:W15,W29:W36,W50:W57)</f>
        <v>18000</v>
      </c>
      <c r="AX28" t="s">
        <v>47</v>
      </c>
      <c r="AY28">
        <f>SUM(V19:AG19,V40:AG40,V61:AG61)</f>
        <v>18000</v>
      </c>
      <c r="AZ28" t="s">
        <v>20</v>
      </c>
      <c r="BB28" s="1" t="s">
        <v>63</v>
      </c>
      <c r="BC28" s="10" t="s">
        <v>19</v>
      </c>
      <c r="BD28" s="10" t="s">
        <v>20</v>
      </c>
      <c r="BE28" s="10" t="s">
        <v>21</v>
      </c>
      <c r="BF28" s="10" t="s">
        <v>22</v>
      </c>
    </row>
    <row r="29" spans="1:66" x14ac:dyDescent="0.2">
      <c r="A29" s="3" t="s">
        <v>26</v>
      </c>
      <c r="B29" s="3">
        <v>6000</v>
      </c>
      <c r="C29" s="3">
        <v>35.773417600000002</v>
      </c>
      <c r="D29" s="3">
        <v>27.1814307</v>
      </c>
      <c r="E29" s="3"/>
      <c r="F29" s="3"/>
      <c r="G29" s="27" t="s">
        <v>8</v>
      </c>
      <c r="H29">
        <v>283.57459999999998</v>
      </c>
      <c r="I29">
        <v>1286.4165</v>
      </c>
      <c r="J29">
        <v>1362.1052</v>
      </c>
      <c r="K29">
        <v>1682.0897</v>
      </c>
      <c r="U29" s="9" t="s">
        <v>8</v>
      </c>
      <c r="V29" s="15">
        <v>0</v>
      </c>
      <c r="W29" s="15">
        <v>0</v>
      </c>
      <c r="X29" s="15">
        <v>0</v>
      </c>
      <c r="Y29" s="15">
        <v>0</v>
      </c>
      <c r="AI29" s="9" t="s">
        <v>8</v>
      </c>
      <c r="AJ29" cm="1">
        <f t="array" ref="AJ29:AM31">(D5*H29:K31+B15:B17)*V29:Y31</f>
        <v>0</v>
      </c>
      <c r="AK29">
        <v>0</v>
      </c>
      <c r="AL29">
        <v>0</v>
      </c>
      <c r="AM29">
        <v>0</v>
      </c>
      <c r="AW29">
        <f>SUM(X8:X15,X29:X36,X50:X57)</f>
        <v>75000</v>
      </c>
      <c r="AX29" t="s">
        <v>47</v>
      </c>
      <c r="AY29">
        <f>SUM(V20:AG20,V41:AG41,V62:AG62)</f>
        <v>75000</v>
      </c>
      <c r="AZ29" t="s">
        <v>21</v>
      </c>
      <c r="BB29" s="9" t="s">
        <v>8</v>
      </c>
      <c r="BC29" cm="1">
        <f t="array" ref="BC29:BF36">H29:K36*(V29:Y36/B7)*73</f>
        <v>0</v>
      </c>
      <c r="BD29">
        <v>0</v>
      </c>
      <c r="BE29">
        <v>0</v>
      </c>
      <c r="BF29">
        <v>0</v>
      </c>
    </row>
    <row r="30" spans="1:66" x14ac:dyDescent="0.2">
      <c r="A30" s="3" t="s">
        <v>27</v>
      </c>
      <c r="B30" s="3">
        <v>114500</v>
      </c>
      <c r="C30" s="3">
        <v>37.983941199999997</v>
      </c>
      <c r="D30" s="3">
        <v>23.728305200000001</v>
      </c>
      <c r="E30" s="3"/>
      <c r="F30" s="3"/>
      <c r="G30" s="27" t="s">
        <v>9</v>
      </c>
      <c r="H30">
        <v>655.22719999999902</v>
      </c>
      <c r="I30">
        <v>1426.5703000000001</v>
      </c>
      <c r="J30">
        <v>540.0489</v>
      </c>
      <c r="K30">
        <v>2539.2773999999999</v>
      </c>
      <c r="U30" s="9" t="s">
        <v>9</v>
      </c>
      <c r="V30" s="15">
        <v>0</v>
      </c>
      <c r="W30" s="15">
        <v>0</v>
      </c>
      <c r="X30" s="15">
        <v>0</v>
      </c>
      <c r="Y30" s="15">
        <v>0</v>
      </c>
      <c r="AI30" s="9" t="s">
        <v>9</v>
      </c>
      <c r="AJ30">
        <v>0</v>
      </c>
      <c r="AK30">
        <v>0</v>
      </c>
      <c r="AL30">
        <v>0</v>
      </c>
      <c r="AM30">
        <v>0</v>
      </c>
      <c r="AW30">
        <f>SUM(Y8:Y15,Y29:Y36,Y50:Y57)</f>
        <v>100000</v>
      </c>
      <c r="AX30" t="s">
        <v>47</v>
      </c>
      <c r="AY30">
        <f>SUM(V21:AG21,V42:AG42,V63:AG63)</f>
        <v>100000</v>
      </c>
      <c r="AZ30" t="s">
        <v>22</v>
      </c>
      <c r="BB30" s="9" t="s">
        <v>9</v>
      </c>
      <c r="BC30">
        <v>0</v>
      </c>
      <c r="BD30">
        <v>0</v>
      </c>
      <c r="BE30">
        <v>0</v>
      </c>
      <c r="BF30">
        <v>0</v>
      </c>
    </row>
    <row r="31" spans="1:66" x14ac:dyDescent="0.2">
      <c r="A31" s="3" t="s">
        <v>28</v>
      </c>
      <c r="B31" s="3">
        <v>3000</v>
      </c>
      <c r="C31" s="3">
        <v>45.747956299999998</v>
      </c>
      <c r="D31" s="3">
        <v>-0.33856140000000001</v>
      </c>
      <c r="E31" s="3"/>
      <c r="F31" s="3"/>
      <c r="G31" s="27" t="s">
        <v>10</v>
      </c>
      <c r="H31">
        <v>1152.3353999999999</v>
      </c>
      <c r="I31">
        <v>157.0652</v>
      </c>
      <c r="J31">
        <v>2094.0954999999999</v>
      </c>
      <c r="K31">
        <v>2889.6354999999999</v>
      </c>
      <c r="U31" s="9" t="s">
        <v>10</v>
      </c>
      <c r="V31" s="15">
        <v>0</v>
      </c>
      <c r="W31" s="15">
        <v>0</v>
      </c>
      <c r="X31" s="15">
        <v>0</v>
      </c>
      <c r="Y31" s="15">
        <v>0</v>
      </c>
      <c r="AI31" s="9" t="s">
        <v>10</v>
      </c>
      <c r="AJ31">
        <v>0</v>
      </c>
      <c r="AK31">
        <v>0</v>
      </c>
      <c r="AL31">
        <v>0</v>
      </c>
      <c r="AM31">
        <v>0</v>
      </c>
      <c r="BB31" s="9" t="s">
        <v>10</v>
      </c>
      <c r="BC31">
        <v>0</v>
      </c>
      <c r="BD31">
        <v>0</v>
      </c>
      <c r="BE31">
        <v>0</v>
      </c>
      <c r="BF31">
        <v>0</v>
      </c>
    </row>
    <row r="32" spans="1:66" x14ac:dyDescent="0.2">
      <c r="A32" s="3" t="s">
        <v>29</v>
      </c>
      <c r="B32" s="3">
        <v>16500</v>
      </c>
      <c r="C32" s="3">
        <v>48.224243399999999</v>
      </c>
      <c r="D32" s="3">
        <v>11.6715263</v>
      </c>
      <c r="E32" s="3"/>
      <c r="F32" s="3"/>
      <c r="G32" s="21" t="s">
        <v>53</v>
      </c>
      <c r="H32">
        <v>120.673</v>
      </c>
      <c r="I32">
        <v>1055.277</v>
      </c>
      <c r="J32">
        <v>1292.3728999999901</v>
      </c>
      <c r="K32">
        <v>1979.7137</v>
      </c>
      <c r="U32" s="21" t="s">
        <v>53</v>
      </c>
      <c r="V32" s="15">
        <v>25000</v>
      </c>
      <c r="W32" s="15">
        <v>0</v>
      </c>
      <c r="X32" s="15">
        <v>0</v>
      </c>
      <c r="Y32" s="15">
        <v>0</v>
      </c>
      <c r="AI32" s="21" t="s">
        <v>53</v>
      </c>
      <c r="AJ32" cm="1">
        <f t="array" ref="AJ32:AM36">(D5*H32:K36+AD11:AD15)*V32:Y36</f>
        <v>178019.73414999997</v>
      </c>
      <c r="AK32">
        <v>0</v>
      </c>
      <c r="AL32">
        <v>0</v>
      </c>
      <c r="AM32">
        <v>0</v>
      </c>
      <c r="AW32" s="1" t="s">
        <v>59</v>
      </c>
      <c r="BB32" s="21" t="s">
        <v>53</v>
      </c>
      <c r="BC32">
        <v>579200.23174999992</v>
      </c>
      <c r="BD32">
        <v>0</v>
      </c>
      <c r="BE32">
        <v>0</v>
      </c>
      <c r="BF32">
        <v>0</v>
      </c>
    </row>
    <row r="33" spans="1:66" x14ac:dyDescent="0.2">
      <c r="A33" s="3" t="s">
        <v>30</v>
      </c>
      <c r="B33" s="3">
        <v>6500</v>
      </c>
      <c r="C33" s="3">
        <v>51.783499399999997</v>
      </c>
      <c r="D33" s="3">
        <v>-0.89464410000000005</v>
      </c>
      <c r="E33" s="3"/>
      <c r="F33" s="3"/>
      <c r="G33" s="21" t="s">
        <v>54</v>
      </c>
      <c r="H33">
        <v>464.79500000000002</v>
      </c>
      <c r="I33">
        <v>1511.2248</v>
      </c>
      <c r="J33">
        <v>1538.9049</v>
      </c>
      <c r="K33">
        <v>1461.1261999999999</v>
      </c>
      <c r="U33" s="21" t="s">
        <v>54</v>
      </c>
      <c r="V33" s="15">
        <v>0</v>
      </c>
      <c r="W33" s="15">
        <v>0</v>
      </c>
      <c r="X33" s="15">
        <v>0</v>
      </c>
      <c r="Y33" s="15">
        <v>50000</v>
      </c>
      <c r="AG33" s="3"/>
      <c r="AI33" s="21" t="s">
        <v>54</v>
      </c>
      <c r="AJ33">
        <v>0</v>
      </c>
      <c r="AK33">
        <v>0</v>
      </c>
      <c r="AL33">
        <v>0</v>
      </c>
      <c r="AM33">
        <v>1659713.5327000001</v>
      </c>
      <c r="AW33" s="1" t="s">
        <v>60</v>
      </c>
      <c r="BB33" s="21" t="s">
        <v>54</v>
      </c>
      <c r="BC33">
        <v>0</v>
      </c>
      <c r="BD33">
        <v>0</v>
      </c>
      <c r="BE33">
        <v>0</v>
      </c>
      <c r="BF33">
        <v>14026080.956899997</v>
      </c>
    </row>
    <row r="34" spans="1:66" x14ac:dyDescent="0.2">
      <c r="A34" s="3" t="s">
        <v>31</v>
      </c>
      <c r="B34" s="3">
        <v>500</v>
      </c>
      <c r="C34" s="3">
        <v>48.785892099999998</v>
      </c>
      <c r="D34" s="3">
        <v>3.0292059</v>
      </c>
      <c r="E34" s="3"/>
      <c r="F34" s="3"/>
      <c r="G34" s="21" t="s">
        <v>55</v>
      </c>
      <c r="H34">
        <v>1957.3381999999999</v>
      </c>
      <c r="I34">
        <v>855.08460000000002</v>
      </c>
      <c r="J34">
        <v>2735.1374000000001</v>
      </c>
      <c r="K34">
        <v>3703.6586000000002</v>
      </c>
      <c r="U34" s="21" t="s">
        <v>55</v>
      </c>
      <c r="V34" s="15">
        <v>0</v>
      </c>
      <c r="W34" s="15">
        <v>0</v>
      </c>
      <c r="X34" s="15">
        <v>0</v>
      </c>
      <c r="Y34" s="15">
        <v>0</v>
      </c>
      <c r="AG34" s="3"/>
      <c r="AI34" s="21" t="s">
        <v>55</v>
      </c>
      <c r="AJ34">
        <v>0</v>
      </c>
      <c r="AK34">
        <v>0</v>
      </c>
      <c r="AL34">
        <v>0</v>
      </c>
      <c r="AM34">
        <v>0</v>
      </c>
      <c r="AW34">
        <f>SUM(V11:Y11,V32:Y32,V53:Y53)</f>
        <v>25000</v>
      </c>
      <c r="AX34" t="s">
        <v>44</v>
      </c>
      <c r="AY34" cm="1">
        <f t="array" ref="AY34:AY38">AF11:AF15</f>
        <v>25000</v>
      </c>
      <c r="AZ34" t="s">
        <v>53</v>
      </c>
      <c r="BB34" s="21" t="s">
        <v>55</v>
      </c>
      <c r="BC34">
        <v>0</v>
      </c>
      <c r="BD34">
        <v>0</v>
      </c>
      <c r="BE34">
        <v>0</v>
      </c>
      <c r="BF34">
        <v>0</v>
      </c>
    </row>
    <row r="35" spans="1:66" x14ac:dyDescent="0.2">
      <c r="A35" s="3" t="s">
        <v>32</v>
      </c>
      <c r="B35" s="3">
        <v>22000</v>
      </c>
      <c r="C35" s="3">
        <v>53.6736529</v>
      </c>
      <c r="D35" s="3">
        <v>10.2358999</v>
      </c>
      <c r="E35" s="3"/>
      <c r="F35" s="3"/>
      <c r="G35" s="21" t="s">
        <v>56</v>
      </c>
      <c r="H35">
        <v>1615.0483999999999</v>
      </c>
      <c r="I35">
        <v>3579.8420000000001</v>
      </c>
      <c r="J35">
        <v>406.91469999999998</v>
      </c>
      <c r="K35">
        <v>3392.9079999999999</v>
      </c>
      <c r="U35" s="21" t="s">
        <v>56</v>
      </c>
      <c r="V35" s="15">
        <v>0</v>
      </c>
      <c r="W35" s="15">
        <v>0</v>
      </c>
      <c r="X35" s="15">
        <v>0</v>
      </c>
      <c r="Y35" s="15">
        <v>0</v>
      </c>
      <c r="AI35" s="21" t="s">
        <v>56</v>
      </c>
      <c r="AJ35">
        <v>0</v>
      </c>
      <c r="AK35">
        <v>0</v>
      </c>
      <c r="AL35">
        <v>0</v>
      </c>
      <c r="AM35">
        <v>0</v>
      </c>
      <c r="AW35">
        <f>SUM(V12:Y12,V33:Y33,V54:Y54)</f>
        <v>50000</v>
      </c>
      <c r="AX35" t="s">
        <v>44</v>
      </c>
      <c r="AY35">
        <v>50000</v>
      </c>
      <c r="AZ35" t="s">
        <v>54</v>
      </c>
      <c r="BB35" s="21" t="s">
        <v>56</v>
      </c>
      <c r="BC35">
        <v>0</v>
      </c>
      <c r="BD35">
        <v>0</v>
      </c>
      <c r="BE35">
        <v>0</v>
      </c>
      <c r="BF35">
        <v>0</v>
      </c>
    </row>
    <row r="36" spans="1:66" x14ac:dyDescent="0.2">
      <c r="A36" s="3" t="s">
        <v>33</v>
      </c>
      <c r="B36" s="3">
        <v>13000</v>
      </c>
      <c r="C36" s="3">
        <v>54.898213900000002</v>
      </c>
      <c r="D36" s="3">
        <v>23.904481700000002</v>
      </c>
      <c r="E36" s="3"/>
      <c r="F36" s="3"/>
      <c r="G36" s="21" t="s">
        <v>57</v>
      </c>
      <c r="H36">
        <v>559.99469999999997</v>
      </c>
      <c r="I36">
        <v>1426.7084</v>
      </c>
      <c r="J36">
        <v>664.62980000000005</v>
      </c>
      <c r="K36">
        <v>2312.9658999999901</v>
      </c>
      <c r="U36" s="21" t="s">
        <v>57</v>
      </c>
      <c r="V36" s="15">
        <v>16500</v>
      </c>
      <c r="W36" s="15">
        <v>18000</v>
      </c>
      <c r="X36" s="15">
        <v>0</v>
      </c>
      <c r="Y36" s="15">
        <v>10500</v>
      </c>
      <c r="AI36" s="21" t="s">
        <v>57</v>
      </c>
      <c r="AJ36">
        <v>251119.53747374998</v>
      </c>
      <c r="AK36">
        <v>578087.09080200002</v>
      </c>
      <c r="AL36">
        <v>0</v>
      </c>
      <c r="AM36">
        <v>518632.16424074798</v>
      </c>
      <c r="AW36">
        <f>SUM(V13:Y13,V34:Y34,V55:Y55)</f>
        <v>20000</v>
      </c>
      <c r="AX36" t="s">
        <v>44</v>
      </c>
      <c r="AY36">
        <v>20000</v>
      </c>
      <c r="AZ36" t="s">
        <v>55</v>
      </c>
      <c r="BB36" s="21" t="s">
        <v>57</v>
      </c>
      <c r="BC36">
        <v>1773970.8104744998</v>
      </c>
      <c r="BD36">
        <v>4930447.4228879996</v>
      </c>
      <c r="BE36">
        <v>0</v>
      </c>
      <c r="BF36">
        <v>4662696.3929804796</v>
      </c>
    </row>
    <row r="37" spans="1:66" x14ac:dyDescent="0.2">
      <c r="A37" s="3" t="s">
        <v>34</v>
      </c>
      <c r="B37" s="3">
        <v>1000</v>
      </c>
      <c r="C37" s="3">
        <v>40.713449099999998</v>
      </c>
      <c r="D37" s="3">
        <v>-8.4825639000000006</v>
      </c>
      <c r="E37" s="3"/>
      <c r="F37" s="3"/>
      <c r="T37" s="1"/>
      <c r="AW37">
        <f>SUM(V14:Y14,V35:Y35,V56:Y56)</f>
        <v>60000</v>
      </c>
      <c r="AX37" t="s">
        <v>44</v>
      </c>
      <c r="AY37">
        <v>60000</v>
      </c>
      <c r="AZ37" t="s">
        <v>56</v>
      </c>
    </row>
    <row r="38" spans="1:66" x14ac:dyDescent="0.2">
      <c r="A38" s="3" t="s">
        <v>35</v>
      </c>
      <c r="B38" s="3">
        <v>44000</v>
      </c>
      <c r="C38" s="3">
        <v>38.8735511</v>
      </c>
      <c r="D38" s="3">
        <v>-9.0785503999999992</v>
      </c>
      <c r="E38" s="3"/>
      <c r="F38" s="3"/>
      <c r="G38" s="1" t="s">
        <v>63</v>
      </c>
      <c r="H38" s="11" t="s">
        <v>25</v>
      </c>
      <c r="I38" s="11" t="s">
        <v>26</v>
      </c>
      <c r="J38" s="11" t="s">
        <v>27</v>
      </c>
      <c r="K38" s="11" t="s">
        <v>28</v>
      </c>
      <c r="L38" s="11" t="s">
        <v>29</v>
      </c>
      <c r="M38" s="11" t="s">
        <v>30</v>
      </c>
      <c r="N38" s="11" t="s">
        <v>31</v>
      </c>
      <c r="O38" s="11" t="s">
        <v>32</v>
      </c>
      <c r="P38" s="11" t="s">
        <v>33</v>
      </c>
      <c r="Q38" s="11" t="s">
        <v>34</v>
      </c>
      <c r="R38" s="11" t="s">
        <v>35</v>
      </c>
      <c r="S38" s="11" t="s">
        <v>36</v>
      </c>
      <c r="T38" s="1"/>
      <c r="U38" s="1" t="s">
        <v>63</v>
      </c>
      <c r="V38" s="11" t="s">
        <v>25</v>
      </c>
      <c r="W38" s="11" t="s">
        <v>26</v>
      </c>
      <c r="X38" s="11" t="s">
        <v>27</v>
      </c>
      <c r="Y38" s="11" t="s">
        <v>28</v>
      </c>
      <c r="Z38" s="11" t="s">
        <v>29</v>
      </c>
      <c r="AA38" s="11" t="s">
        <v>30</v>
      </c>
      <c r="AB38" s="11" t="s">
        <v>31</v>
      </c>
      <c r="AC38" s="11" t="s">
        <v>32</v>
      </c>
      <c r="AD38" s="11" t="s">
        <v>33</v>
      </c>
      <c r="AE38" s="11" t="s">
        <v>34</v>
      </c>
      <c r="AF38" s="11" t="s">
        <v>35</v>
      </c>
      <c r="AG38" s="11" t="s">
        <v>36</v>
      </c>
      <c r="AI38" s="1" t="s">
        <v>63</v>
      </c>
      <c r="AJ38" s="11" t="s">
        <v>25</v>
      </c>
      <c r="AK38" s="11" t="s">
        <v>26</v>
      </c>
      <c r="AL38" s="11" t="s">
        <v>27</v>
      </c>
      <c r="AM38" s="11" t="s">
        <v>28</v>
      </c>
      <c r="AN38" s="11" t="s">
        <v>29</v>
      </c>
      <c r="AO38" s="11" t="s">
        <v>30</v>
      </c>
      <c r="AP38" s="11" t="s">
        <v>31</v>
      </c>
      <c r="AQ38" s="11" t="s">
        <v>32</v>
      </c>
      <c r="AR38" s="11" t="s">
        <v>33</v>
      </c>
      <c r="AS38" s="11" t="s">
        <v>34</v>
      </c>
      <c r="AT38" s="11" t="s">
        <v>35</v>
      </c>
      <c r="AU38" s="11" t="s">
        <v>36</v>
      </c>
      <c r="AW38">
        <f>SUM(V15:Y15,V36:Y36,V57:Y57)</f>
        <v>45000</v>
      </c>
      <c r="AX38" t="s">
        <v>44</v>
      </c>
      <c r="AY38">
        <v>45000</v>
      </c>
      <c r="AZ38" t="s">
        <v>57</v>
      </c>
      <c r="BB38" s="1" t="s">
        <v>63</v>
      </c>
      <c r="BC38" s="11" t="s">
        <v>25</v>
      </c>
      <c r="BD38" s="11" t="s">
        <v>26</v>
      </c>
      <c r="BE38" s="11" t="s">
        <v>27</v>
      </c>
      <c r="BF38" s="11" t="s">
        <v>28</v>
      </c>
      <c r="BG38" s="11" t="s">
        <v>29</v>
      </c>
      <c r="BH38" s="11" t="s">
        <v>30</v>
      </c>
      <c r="BI38" s="11" t="s">
        <v>31</v>
      </c>
      <c r="BJ38" s="11" t="s">
        <v>32</v>
      </c>
      <c r="BK38" s="11" t="s">
        <v>33</v>
      </c>
      <c r="BL38" s="11" t="s">
        <v>34</v>
      </c>
      <c r="BM38" s="11" t="s">
        <v>35</v>
      </c>
      <c r="BN38" s="11" t="s">
        <v>36</v>
      </c>
    </row>
    <row r="39" spans="1:66" x14ac:dyDescent="0.2">
      <c r="A39" s="3" t="s">
        <v>36</v>
      </c>
      <c r="B39" s="3">
        <v>500</v>
      </c>
      <c r="C39" s="3">
        <v>63.246777700000003</v>
      </c>
      <c r="D39" s="3">
        <v>25.920916399999999</v>
      </c>
      <c r="E39" s="3"/>
      <c r="F39" s="3"/>
      <c r="G39" s="28" t="s">
        <v>19</v>
      </c>
      <c r="H39">
        <v>1490.4829</v>
      </c>
      <c r="I39">
        <v>2651.3577999999902</v>
      </c>
      <c r="J39">
        <v>1926.7511</v>
      </c>
      <c r="K39">
        <v>1629.3367000000001</v>
      </c>
      <c r="L39">
        <v>499.1123</v>
      </c>
      <c r="M39">
        <v>1476.8573999999901</v>
      </c>
      <c r="N39">
        <v>1126.5368000000001</v>
      </c>
      <c r="O39">
        <v>757.14750000000004</v>
      </c>
      <c r="P39">
        <v>957.81029999999998</v>
      </c>
      <c r="Q39">
        <v>2655.6288999999902</v>
      </c>
      <c r="R39">
        <v>2815.5151999999998</v>
      </c>
      <c r="S39">
        <v>3241.7808999999902</v>
      </c>
      <c r="U39" s="10" t="s">
        <v>19</v>
      </c>
      <c r="V39" s="15">
        <v>0</v>
      </c>
      <c r="W39" s="15">
        <v>0</v>
      </c>
      <c r="X39" s="15">
        <v>20500</v>
      </c>
      <c r="Y39" s="15">
        <v>0</v>
      </c>
      <c r="Z39" s="15">
        <v>16500</v>
      </c>
      <c r="AA39" s="15">
        <v>0</v>
      </c>
      <c r="AB39" s="15">
        <v>0</v>
      </c>
      <c r="AC39" s="15">
        <v>4500</v>
      </c>
      <c r="AD39" s="15">
        <v>0</v>
      </c>
      <c r="AE39" s="15">
        <v>0</v>
      </c>
      <c r="AF39" s="15">
        <v>0</v>
      </c>
      <c r="AG39" s="15">
        <v>0</v>
      </c>
      <c r="AI39" s="10" t="s">
        <v>19</v>
      </c>
      <c r="AJ39" cm="1">
        <f t="array" ref="AJ39:AU42">(D5*H39:S42+B21:B24)*V39:AG42</f>
        <v>0</v>
      </c>
      <c r="AK39">
        <v>0</v>
      </c>
      <c r="AL39">
        <v>867770.77945224999</v>
      </c>
      <c r="AM39">
        <v>0</v>
      </c>
      <c r="AN39">
        <v>239224.64805525</v>
      </c>
      <c r="AO39">
        <v>0</v>
      </c>
      <c r="AP39">
        <v>0</v>
      </c>
      <c r="AQ39">
        <v>87879.868841250005</v>
      </c>
      <c r="AR39">
        <v>0</v>
      </c>
      <c r="AS39">
        <v>0</v>
      </c>
      <c r="AT39">
        <v>0</v>
      </c>
      <c r="AU39">
        <v>0</v>
      </c>
      <c r="BB39" s="10" t="s">
        <v>19</v>
      </c>
      <c r="BC39" cm="1">
        <f t="array" ref="BC39:BN42">H39:S42*(V39:AG42/B7)*73</f>
        <v>0</v>
      </c>
      <c r="BD39">
        <v>0</v>
      </c>
      <c r="BE39">
        <v>7583297.3456244981</v>
      </c>
      <c r="BF39">
        <v>0</v>
      </c>
      <c r="BG39">
        <v>1581105.4128705</v>
      </c>
      <c r="BH39">
        <v>0</v>
      </c>
      <c r="BI39">
        <v>0</v>
      </c>
      <c r="BJ39">
        <v>654141.36836249987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 s="3"/>
      <c r="B40" s="3"/>
      <c r="C40" s="3"/>
      <c r="D40" s="3"/>
      <c r="E40" s="3"/>
      <c r="F40" s="3"/>
      <c r="G40" s="28" t="s">
        <v>20</v>
      </c>
      <c r="H40">
        <v>522.65139999999997</v>
      </c>
      <c r="I40">
        <v>3650.8874000000001</v>
      </c>
      <c r="J40">
        <v>2926.2808</v>
      </c>
      <c r="K40">
        <v>661.50519999999995</v>
      </c>
      <c r="L40">
        <v>862.62419999999997</v>
      </c>
      <c r="M40">
        <v>376.52109999999999</v>
      </c>
      <c r="N40">
        <v>198.95500000000001</v>
      </c>
      <c r="O40">
        <v>737.48379999999997</v>
      </c>
      <c r="P40">
        <v>1843.174</v>
      </c>
      <c r="Q40">
        <v>1741.4002</v>
      </c>
      <c r="R40">
        <v>1901.2865999999999</v>
      </c>
      <c r="S40">
        <v>3197.3615</v>
      </c>
      <c r="U40" s="10" t="s">
        <v>20</v>
      </c>
      <c r="V40" s="15">
        <v>7000</v>
      </c>
      <c r="W40" s="15">
        <v>0</v>
      </c>
      <c r="X40" s="15">
        <v>0</v>
      </c>
      <c r="Y40" s="15">
        <v>3000</v>
      </c>
      <c r="Z40" s="15">
        <v>0</v>
      </c>
      <c r="AA40" s="15">
        <v>6500</v>
      </c>
      <c r="AB40" s="15">
        <v>500</v>
      </c>
      <c r="AC40" s="15">
        <v>0</v>
      </c>
      <c r="AD40" s="15">
        <v>0</v>
      </c>
      <c r="AE40" s="15">
        <v>1000</v>
      </c>
      <c r="AF40" s="15">
        <v>0</v>
      </c>
      <c r="AG40" s="15">
        <v>0</v>
      </c>
      <c r="AI40" s="10" t="s">
        <v>20</v>
      </c>
      <c r="AJ40">
        <v>111055.084861</v>
      </c>
      <c r="AK40">
        <v>0</v>
      </c>
      <c r="AL40">
        <v>0</v>
      </c>
      <c r="AM40">
        <v>55715.900861999988</v>
      </c>
      <c r="AN40">
        <v>0</v>
      </c>
      <c r="AO40">
        <v>84605.312509249998</v>
      </c>
      <c r="AP40">
        <v>4777.2754025000004</v>
      </c>
      <c r="AQ40">
        <v>0</v>
      </c>
      <c r="AR40">
        <v>0</v>
      </c>
      <c r="AS40">
        <v>39624.51997899999</v>
      </c>
      <c r="AT40">
        <v>0</v>
      </c>
      <c r="AU40">
        <v>0</v>
      </c>
      <c r="AW40" s="1" t="s">
        <v>169</v>
      </c>
      <c r="BB40" s="10" t="s">
        <v>20</v>
      </c>
      <c r="BC40">
        <v>702406.89600199973</v>
      </c>
      <c r="BD40">
        <v>0</v>
      </c>
      <c r="BE40">
        <v>0</v>
      </c>
      <c r="BF40">
        <v>381007.15004399989</v>
      </c>
      <c r="BG40">
        <v>0</v>
      </c>
      <c r="BH40">
        <v>469873.85892849998</v>
      </c>
      <c r="BI40">
        <v>19098.685225000001</v>
      </c>
      <c r="BJ40">
        <v>0</v>
      </c>
      <c r="BK40">
        <v>0</v>
      </c>
      <c r="BL40">
        <v>334331.424398</v>
      </c>
      <c r="BM40">
        <v>0</v>
      </c>
      <c r="BN40">
        <v>0</v>
      </c>
    </row>
    <row r="41" spans="1:66" x14ac:dyDescent="0.2">
      <c r="A41" s="3"/>
      <c r="B41" s="3"/>
      <c r="C41" s="3"/>
      <c r="D41" s="3"/>
      <c r="E41" s="3"/>
      <c r="F41" s="3"/>
      <c r="G41" s="28" t="s">
        <v>21</v>
      </c>
      <c r="H41">
        <v>2425.3516</v>
      </c>
      <c r="I41">
        <v>3725.5347999999999</v>
      </c>
      <c r="J41">
        <v>3000.9281999999998</v>
      </c>
      <c r="K41">
        <v>2564.2053999999998</v>
      </c>
      <c r="L41">
        <v>1607.6742999999999</v>
      </c>
      <c r="M41">
        <v>2224.5360000000001</v>
      </c>
      <c r="N41">
        <v>2112.6426000000001</v>
      </c>
      <c r="O41">
        <v>1340.1551999999999</v>
      </c>
      <c r="P41">
        <v>259.6909</v>
      </c>
      <c r="Q41">
        <v>3644.1003999999998</v>
      </c>
      <c r="R41">
        <v>3803.9867999999901</v>
      </c>
      <c r="S41">
        <v>809.4239</v>
      </c>
      <c r="U41" s="10" t="s">
        <v>21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13000</v>
      </c>
      <c r="AE41" s="15">
        <v>0</v>
      </c>
      <c r="AF41" s="15">
        <v>0</v>
      </c>
      <c r="AG41" s="15">
        <v>500</v>
      </c>
      <c r="AI41" s="10" t="s">
        <v>21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123353.26322149999</v>
      </c>
      <c r="AS41">
        <v>0</v>
      </c>
      <c r="AT41">
        <v>0</v>
      </c>
      <c r="AU41">
        <v>10102.87869525</v>
      </c>
      <c r="AW41">
        <f>SUM(V11:Y11,V32:Y32,V53:Y53) -60000*AB11</f>
        <v>-35000</v>
      </c>
      <c r="AX41" t="s">
        <v>44</v>
      </c>
      <c r="AY41">
        <v>0</v>
      </c>
      <c r="AZ41" t="s">
        <v>53</v>
      </c>
      <c r="BB41" s="10" t="s">
        <v>21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648154.72658299992</v>
      </c>
      <c r="BL41">
        <v>0</v>
      </c>
      <c r="BM41">
        <v>0</v>
      </c>
      <c r="BN41">
        <v>77700.647280500008</v>
      </c>
    </row>
    <row r="42" spans="1:66" x14ac:dyDescent="0.2">
      <c r="A42" s="3"/>
      <c r="B42" s="3"/>
      <c r="C42" s="3"/>
      <c r="D42" s="3"/>
      <c r="E42" s="3"/>
      <c r="F42" s="3"/>
      <c r="G42" s="28" t="s">
        <v>22</v>
      </c>
      <c r="H42">
        <v>3220.6667000000002</v>
      </c>
      <c r="I42">
        <v>1847.1787999999999</v>
      </c>
      <c r="J42">
        <v>11.972099999999999</v>
      </c>
      <c r="K42">
        <v>3046.5137999999902</v>
      </c>
      <c r="L42">
        <v>2033.0400999999999</v>
      </c>
      <c r="M42">
        <v>3216.3939</v>
      </c>
      <c r="N42">
        <v>2856.7206000000001</v>
      </c>
      <c r="O42">
        <v>2623.7366000000002</v>
      </c>
      <c r="P42">
        <v>2730.7902999999901</v>
      </c>
      <c r="Q42">
        <v>4048.4632000000001</v>
      </c>
      <c r="R42">
        <v>4208.3495999999996</v>
      </c>
      <c r="S42">
        <v>5108.3700999999901</v>
      </c>
      <c r="U42" s="10" t="s">
        <v>22</v>
      </c>
      <c r="V42" s="15">
        <v>0</v>
      </c>
      <c r="W42" s="15">
        <v>0</v>
      </c>
      <c r="X42" s="15">
        <v>94000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I42" s="10" t="s">
        <v>22</v>
      </c>
      <c r="AJ42">
        <v>0</v>
      </c>
      <c r="AK42">
        <v>0</v>
      </c>
      <c r="AL42">
        <v>688070.23241300008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W42">
        <f>SUM(V12:Y12,V33:Y33,V54:Y54) -60000*AB12</f>
        <v>-10000</v>
      </c>
      <c r="AX42" t="s">
        <v>44</v>
      </c>
      <c r="AY42">
        <v>0</v>
      </c>
      <c r="AZ42" t="s">
        <v>54</v>
      </c>
      <c r="BB42" s="10" t="s">
        <v>22</v>
      </c>
      <c r="BC42">
        <v>0</v>
      </c>
      <c r="BD42">
        <v>0</v>
      </c>
      <c r="BE42">
        <v>216061.20702599996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 s="3"/>
      <c r="B43" s="3"/>
      <c r="C43" s="3"/>
      <c r="D43" s="3"/>
      <c r="E43" s="3"/>
      <c r="F43" s="3"/>
      <c r="G43" s="3"/>
      <c r="AW43">
        <f>SUM(V13:Y13,V34:Y34,V55:Y55) -60000*AB13</f>
        <v>-40000</v>
      </c>
      <c r="AX43" t="s">
        <v>44</v>
      </c>
      <c r="AY43">
        <v>0</v>
      </c>
      <c r="AZ43" t="s">
        <v>55</v>
      </c>
    </row>
    <row r="44" spans="1:66" x14ac:dyDescent="0.2">
      <c r="A44" s="3"/>
      <c r="B44" s="3"/>
      <c r="C44" s="3"/>
      <c r="D44" s="3"/>
      <c r="E44" s="3"/>
      <c r="F44" s="3"/>
      <c r="Q44" s="3"/>
      <c r="R44" s="3"/>
      <c r="AJ44" s="1"/>
      <c r="AW44">
        <f>SUM(V14:Y14,V35:Y35,V56:Y56)-60000*AB14</f>
        <v>0</v>
      </c>
      <c r="AX44" t="s">
        <v>44</v>
      </c>
      <c r="AY44">
        <v>0</v>
      </c>
      <c r="AZ44" t="s">
        <v>56</v>
      </c>
      <c r="BC44" s="1"/>
    </row>
    <row r="45" spans="1:66" x14ac:dyDescent="0.2">
      <c r="A45" s="4"/>
      <c r="B45" s="3"/>
      <c r="C45" s="3"/>
      <c r="D45" s="3"/>
      <c r="E45" s="3"/>
      <c r="F45" s="3"/>
      <c r="G45" s="4" t="s">
        <v>1</v>
      </c>
      <c r="H45" s="9" t="s">
        <v>8</v>
      </c>
      <c r="I45" s="9" t="s">
        <v>9</v>
      </c>
      <c r="J45" s="9" t="s">
        <v>10</v>
      </c>
      <c r="U45" s="4" t="s">
        <v>1</v>
      </c>
      <c r="V45" s="9" t="s">
        <v>8</v>
      </c>
      <c r="W45" s="9" t="s">
        <v>9</v>
      </c>
      <c r="X45" s="9" t="s">
        <v>10</v>
      </c>
      <c r="AB45" s="1"/>
      <c r="AI45" s="4" t="s">
        <v>1</v>
      </c>
      <c r="AJ45" s="9" t="s">
        <v>8</v>
      </c>
      <c r="AK45" s="9" t="s">
        <v>9</v>
      </c>
      <c r="AL45" s="9" t="s">
        <v>10</v>
      </c>
      <c r="AW45">
        <f>SUM(V15:Y15,V36:Y36,V57:Y57)-60000*AB15</f>
        <v>-15000</v>
      </c>
      <c r="AX45" t="s">
        <v>44</v>
      </c>
      <c r="AY45">
        <v>0</v>
      </c>
      <c r="AZ45" t="s">
        <v>57</v>
      </c>
      <c r="BB45" s="4" t="s">
        <v>1</v>
      </c>
      <c r="BC45" s="9" t="s">
        <v>8</v>
      </c>
      <c r="BD45" s="9" t="s">
        <v>9</v>
      </c>
      <c r="BE45" s="9" t="s">
        <v>10</v>
      </c>
    </row>
    <row r="46" spans="1:66" x14ac:dyDescent="0.2">
      <c r="A46" s="4"/>
      <c r="G46" s="8" t="s">
        <v>12</v>
      </c>
      <c r="H46" s="30">
        <v>30000</v>
      </c>
      <c r="I46" s="3">
        <v>21120.81</v>
      </c>
      <c r="J46" s="30">
        <v>30000</v>
      </c>
      <c r="K46" s="30"/>
      <c r="L46" s="30"/>
      <c r="T46" s="1"/>
      <c r="U46" s="8" t="s">
        <v>12</v>
      </c>
      <c r="V46" s="15">
        <v>0</v>
      </c>
      <c r="W46" s="15">
        <v>34500</v>
      </c>
      <c r="X46" s="15">
        <v>0</v>
      </c>
      <c r="AG46" s="3"/>
      <c r="AI46" s="8" t="s">
        <v>12</v>
      </c>
      <c r="AJ46" cm="1">
        <f t="array" ref="AJ46:AL47">(C5*H46:J47+B10:B11)*V46:X47</f>
        <v>0</v>
      </c>
      <c r="AK46">
        <v>41336831.701289997</v>
      </c>
      <c r="AL46">
        <v>0</v>
      </c>
      <c r="BB46" s="8" t="s">
        <v>12</v>
      </c>
      <c r="BC46" s="30" cm="1">
        <f t="array" ref="BC46:BE47">H46:J47*(V46:X47/B7)*24</f>
        <v>0</v>
      </c>
      <c r="BD46">
        <v>45993520.688399993</v>
      </c>
      <c r="BE46">
        <v>0</v>
      </c>
    </row>
    <row r="47" spans="1:66" x14ac:dyDescent="0.2">
      <c r="B47" s="3"/>
      <c r="C47" s="3"/>
      <c r="D47" s="3"/>
      <c r="G47" s="8" t="s">
        <v>14</v>
      </c>
      <c r="H47" s="30">
        <v>30000</v>
      </c>
      <c r="I47">
        <v>21791.15</v>
      </c>
      <c r="J47" s="30">
        <v>30000</v>
      </c>
      <c r="U47" s="8" t="s">
        <v>14</v>
      </c>
      <c r="V47" s="15">
        <v>0</v>
      </c>
      <c r="W47" s="15">
        <v>0</v>
      </c>
      <c r="X47" s="15">
        <v>0</v>
      </c>
      <c r="AC47" s="3"/>
      <c r="AD47" s="3"/>
      <c r="AE47" s="3"/>
      <c r="AF47" s="3"/>
      <c r="AG47" s="3"/>
      <c r="AI47" s="8" t="s">
        <v>14</v>
      </c>
      <c r="AJ47">
        <v>0</v>
      </c>
      <c r="AK47">
        <v>0</v>
      </c>
      <c r="AL47">
        <v>0</v>
      </c>
      <c r="BB47" s="8" t="s">
        <v>14</v>
      </c>
      <c r="BC47">
        <v>0</v>
      </c>
      <c r="BD47">
        <v>0</v>
      </c>
      <c r="BE47">
        <v>0</v>
      </c>
    </row>
    <row r="48" spans="1:66" x14ac:dyDescent="0.2">
      <c r="B48" s="3"/>
      <c r="C48" s="3"/>
      <c r="D48" s="3"/>
      <c r="U48" s="2"/>
      <c r="V48" s="2"/>
      <c r="W48" s="2"/>
      <c r="X48" s="2"/>
      <c r="Y48" s="2"/>
      <c r="Z48" s="2"/>
      <c r="AC48" s="2"/>
      <c r="AD48" s="2"/>
      <c r="AE48" s="2"/>
      <c r="AF48" s="2"/>
      <c r="AG48" s="2"/>
      <c r="AI48" s="2"/>
      <c r="BB48" s="2"/>
    </row>
    <row r="49" spans="2:66" x14ac:dyDescent="0.2">
      <c r="G49" s="1" t="s">
        <v>1</v>
      </c>
      <c r="H49" s="10" t="s">
        <v>19</v>
      </c>
      <c r="I49" s="10" t="s">
        <v>20</v>
      </c>
      <c r="J49" s="10" t="s">
        <v>21</v>
      </c>
      <c r="K49" s="10" t="s">
        <v>22</v>
      </c>
      <c r="M49" s="30"/>
      <c r="U49" s="1" t="s">
        <v>1</v>
      </c>
      <c r="V49" s="10" t="s">
        <v>19</v>
      </c>
      <c r="W49" s="10" t="s">
        <v>20</v>
      </c>
      <c r="X49" s="10" t="s">
        <v>21</v>
      </c>
      <c r="Y49" s="10" t="s">
        <v>22</v>
      </c>
      <c r="AI49" s="1" t="s">
        <v>1</v>
      </c>
      <c r="AJ49" s="10" t="s">
        <v>19</v>
      </c>
      <c r="AK49" s="10" t="s">
        <v>20</v>
      </c>
      <c r="AL49" s="10" t="s">
        <v>21</v>
      </c>
      <c r="AM49" s="10" t="s">
        <v>22</v>
      </c>
      <c r="AW49" s="4" t="s">
        <v>41</v>
      </c>
      <c r="BB49" s="1" t="s">
        <v>1</v>
      </c>
      <c r="BC49" s="10" t="s">
        <v>19</v>
      </c>
      <c r="BD49" s="10" t="s">
        <v>20</v>
      </c>
      <c r="BE49" s="10" t="s">
        <v>21</v>
      </c>
      <c r="BF49" s="10" t="s">
        <v>22</v>
      </c>
    </row>
    <row r="50" spans="2:66" x14ac:dyDescent="0.2">
      <c r="G50" s="9" t="s">
        <v>8</v>
      </c>
      <c r="H50" s="30">
        <v>20000</v>
      </c>
      <c r="I50" s="30">
        <v>20000</v>
      </c>
      <c r="J50" s="30">
        <v>20000</v>
      </c>
      <c r="K50" s="30">
        <v>20000</v>
      </c>
      <c r="U50" s="9" t="s">
        <v>8</v>
      </c>
      <c r="V50" s="15">
        <v>0</v>
      </c>
      <c r="W50" s="15">
        <v>0</v>
      </c>
      <c r="X50" s="15">
        <v>0</v>
      </c>
      <c r="Y50" s="15">
        <v>0</v>
      </c>
      <c r="AI50" s="9" t="s">
        <v>8</v>
      </c>
      <c r="AJ50" s="30" cm="1">
        <f t="array" ref="AJ50:AM52">(C5*H50:K52+B15:B17)*V50:Y52</f>
        <v>0</v>
      </c>
      <c r="AK50">
        <v>0</v>
      </c>
      <c r="AL50">
        <v>0</v>
      </c>
      <c r="AM50">
        <v>0</v>
      </c>
      <c r="AW50" s="33">
        <f>SUM(_xlfn.ANCHORARRAY(AJ4),AJ8:AN15,_xlfn.ANCHORARRAY(AJ18),AJ29:AM36,_xlfn.ANCHORARRAY(AJ39),AJ50:AM57,_xlfn.ANCHORARRAY(AJ46),_xlfn.ANCHORARRAY(AJ60))</f>
        <v>117424184.29414877</v>
      </c>
      <c r="BB50" s="9" t="s">
        <v>8</v>
      </c>
      <c r="BC50" s="30" cm="1">
        <f t="array" ref="BC50:BF57">H50:K57*(V50:Y57/B7)*24</f>
        <v>0</v>
      </c>
      <c r="BD50">
        <v>0</v>
      </c>
      <c r="BE50">
        <v>0</v>
      </c>
      <c r="BF50">
        <v>0</v>
      </c>
    </row>
    <row r="51" spans="2:66" x14ac:dyDescent="0.2">
      <c r="B51" s="3"/>
      <c r="C51" s="3"/>
      <c r="D51" s="3"/>
      <c r="E51" s="3"/>
      <c r="G51" s="9" t="s">
        <v>9</v>
      </c>
      <c r="H51" s="30">
        <v>20000</v>
      </c>
      <c r="I51" s="30">
        <v>20000</v>
      </c>
      <c r="J51">
        <v>626.22</v>
      </c>
      <c r="K51">
        <v>6939.35</v>
      </c>
      <c r="U51" s="9" t="s">
        <v>9</v>
      </c>
      <c r="V51" s="15">
        <v>0</v>
      </c>
      <c r="W51" s="15">
        <v>0</v>
      </c>
      <c r="X51" s="15">
        <v>15000</v>
      </c>
      <c r="Y51" s="15">
        <v>19500</v>
      </c>
      <c r="AI51" s="9" t="s">
        <v>9</v>
      </c>
      <c r="AJ51">
        <v>0</v>
      </c>
      <c r="AK51">
        <v>0</v>
      </c>
      <c r="AL51">
        <v>595922.41275000002</v>
      </c>
      <c r="AM51">
        <v>7738930.6425599996</v>
      </c>
      <c r="BB51" s="9" t="s">
        <v>9</v>
      </c>
      <c r="BC51">
        <v>0</v>
      </c>
      <c r="BD51">
        <v>0</v>
      </c>
      <c r="BE51">
        <v>592905.0959999999</v>
      </c>
      <c r="BF51">
        <v>8541229.5540000014</v>
      </c>
    </row>
    <row r="52" spans="2:66" x14ac:dyDescent="0.2">
      <c r="B52" s="3"/>
      <c r="C52" s="3"/>
      <c r="D52" s="3"/>
      <c r="E52" s="3"/>
      <c r="G52" s="9" t="s">
        <v>10</v>
      </c>
      <c r="H52" s="30">
        <v>20000</v>
      </c>
      <c r="I52" s="30">
        <v>20000</v>
      </c>
      <c r="J52" s="30">
        <v>20000</v>
      </c>
      <c r="K52" s="30">
        <v>20000</v>
      </c>
      <c r="U52" s="9" t="s">
        <v>10</v>
      </c>
      <c r="V52" s="15">
        <v>0</v>
      </c>
      <c r="W52" s="15">
        <v>0</v>
      </c>
      <c r="X52" s="15">
        <v>0</v>
      </c>
      <c r="Y52" s="15">
        <v>0</v>
      </c>
      <c r="AI52" s="9" t="s">
        <v>10</v>
      </c>
      <c r="AJ52">
        <v>0</v>
      </c>
      <c r="AK52">
        <v>0</v>
      </c>
      <c r="AL52">
        <v>0</v>
      </c>
      <c r="AM52">
        <v>0</v>
      </c>
      <c r="AW52" t="s">
        <v>68</v>
      </c>
      <c r="BB52" s="9" t="s">
        <v>10</v>
      </c>
      <c r="BC52">
        <v>0</v>
      </c>
      <c r="BD52">
        <v>0</v>
      </c>
      <c r="BE52">
        <v>0</v>
      </c>
      <c r="BF52">
        <v>0</v>
      </c>
    </row>
    <row r="53" spans="2:66" x14ac:dyDescent="0.2">
      <c r="B53" s="3"/>
      <c r="C53" s="3"/>
      <c r="D53" s="3"/>
      <c r="E53" s="3"/>
      <c r="G53" s="21" t="s">
        <v>53</v>
      </c>
      <c r="H53" s="30">
        <v>20000</v>
      </c>
      <c r="I53" s="30">
        <v>20000</v>
      </c>
      <c r="J53" s="30">
        <v>20000</v>
      </c>
      <c r="K53" s="30">
        <v>20000</v>
      </c>
      <c r="U53" s="21" t="s">
        <v>53</v>
      </c>
      <c r="V53" s="15">
        <v>0</v>
      </c>
      <c r="W53" s="15">
        <v>0</v>
      </c>
      <c r="X53" s="15">
        <v>0</v>
      </c>
      <c r="Y53" s="15">
        <v>0</v>
      </c>
      <c r="AI53" s="21" t="s">
        <v>53</v>
      </c>
      <c r="AJ53" s="30" cm="1">
        <f t="array" ref="AJ53:AM57">(C5*H53:K57+AD11:AD15)*V53:Y57</f>
        <v>0</v>
      </c>
      <c r="AK53">
        <v>0</v>
      </c>
      <c r="AL53">
        <v>0</v>
      </c>
      <c r="AM53">
        <v>0</v>
      </c>
      <c r="AW53" t="s">
        <v>69</v>
      </c>
      <c r="AX53" cm="1">
        <f t="array" ref="AX53">SUM(H4:J5*V4:X5,H8:K15*V8:Y15,H18:S21*V18:AG21)*B6*0.952</f>
        <v>0</v>
      </c>
      <c r="BB53" s="21" t="s">
        <v>53</v>
      </c>
      <c r="BC53" s="30">
        <v>0</v>
      </c>
      <c r="BD53">
        <v>0</v>
      </c>
      <c r="BE53">
        <v>0</v>
      </c>
      <c r="BF53">
        <v>0</v>
      </c>
    </row>
    <row r="54" spans="2:66" x14ac:dyDescent="0.2">
      <c r="G54" s="21" t="s">
        <v>54</v>
      </c>
      <c r="H54" s="30">
        <v>20000</v>
      </c>
      <c r="I54" s="30">
        <v>20000</v>
      </c>
      <c r="J54" s="30">
        <v>20000</v>
      </c>
      <c r="K54" s="30">
        <v>20000</v>
      </c>
      <c r="U54" s="21" t="s">
        <v>54</v>
      </c>
      <c r="V54" s="15">
        <v>0</v>
      </c>
      <c r="W54" s="15">
        <v>0</v>
      </c>
      <c r="X54" s="15">
        <v>0</v>
      </c>
      <c r="Y54" s="15">
        <v>0</v>
      </c>
      <c r="AG54" s="3"/>
      <c r="AI54" s="21" t="s">
        <v>54</v>
      </c>
      <c r="AJ54">
        <v>0</v>
      </c>
      <c r="AK54">
        <v>0</v>
      </c>
      <c r="AL54">
        <v>0</v>
      </c>
      <c r="AM54">
        <v>0</v>
      </c>
      <c r="AW54" t="s">
        <v>70</v>
      </c>
      <c r="AX54" s="30" cm="1">
        <f t="array" ref="AX54">SUM(H25:J26*V25:X26,H29:K36*V29:Y36,H39:S42*V39:AG42)*B6*0.073</f>
        <v>38639574.537337467</v>
      </c>
      <c r="BB54" s="21" t="s">
        <v>54</v>
      </c>
      <c r="BC54">
        <v>0</v>
      </c>
      <c r="BD54">
        <v>0</v>
      </c>
      <c r="BE54">
        <v>0</v>
      </c>
      <c r="BF54">
        <v>0</v>
      </c>
    </row>
    <row r="55" spans="2:66" x14ac:dyDescent="0.2">
      <c r="G55" s="21" t="s">
        <v>55</v>
      </c>
      <c r="H55" s="30">
        <v>20000</v>
      </c>
      <c r="I55" s="30">
        <v>20000</v>
      </c>
      <c r="J55" s="3">
        <v>3176.12</v>
      </c>
      <c r="K55" s="3">
        <v>5125.41</v>
      </c>
      <c r="U55" s="21" t="s">
        <v>55</v>
      </c>
      <c r="V55" s="15">
        <v>0</v>
      </c>
      <c r="W55" s="15">
        <v>0</v>
      </c>
      <c r="X55" s="15">
        <v>0</v>
      </c>
      <c r="Y55" s="15">
        <v>20000</v>
      </c>
      <c r="AG55" s="3"/>
      <c r="AI55" s="21" t="s">
        <v>55</v>
      </c>
      <c r="AJ55">
        <v>0</v>
      </c>
      <c r="AK55">
        <v>0</v>
      </c>
      <c r="AL55">
        <v>0</v>
      </c>
      <c r="AM55">
        <v>5957517.5360399997</v>
      </c>
      <c r="AW55" t="s">
        <v>71</v>
      </c>
      <c r="AX55" s="30" cm="1">
        <f t="array" ref="AX55">SUM(H46:J47*V46:X47,H50:K57*V50:Y57,H60:S63*V60:AG63)*B6*0.024</f>
        <v>76317193.351199999</v>
      </c>
      <c r="BB55" s="21" t="s">
        <v>55</v>
      </c>
      <c r="BC55">
        <v>0</v>
      </c>
      <c r="BD55">
        <v>0</v>
      </c>
      <c r="BE55">
        <v>0</v>
      </c>
      <c r="BF55">
        <v>6470317.5839999998</v>
      </c>
    </row>
    <row r="56" spans="2:66" x14ac:dyDescent="0.2">
      <c r="F56" s="3"/>
      <c r="G56" s="21" t="s">
        <v>56</v>
      </c>
      <c r="H56" s="30">
        <v>20000</v>
      </c>
      <c r="I56" s="30">
        <v>20000</v>
      </c>
      <c r="J56" s="3">
        <v>419.79</v>
      </c>
      <c r="K56" s="3">
        <v>7414.61</v>
      </c>
      <c r="U56" s="21" t="s">
        <v>56</v>
      </c>
      <c r="V56" s="15">
        <v>0</v>
      </c>
      <c r="W56" s="15">
        <v>0</v>
      </c>
      <c r="X56" s="15">
        <v>60000</v>
      </c>
      <c r="Y56" s="15">
        <v>0</v>
      </c>
      <c r="AI56" s="21" t="s">
        <v>56</v>
      </c>
      <c r="AJ56">
        <v>0</v>
      </c>
      <c r="AK56">
        <v>0</v>
      </c>
      <c r="AL56">
        <v>1715354.8669200002</v>
      </c>
      <c r="AM56">
        <v>0</v>
      </c>
      <c r="AW56" s="1"/>
      <c r="BB56" s="21" t="s">
        <v>56</v>
      </c>
      <c r="BC56">
        <v>0</v>
      </c>
      <c r="BD56">
        <v>0</v>
      </c>
      <c r="BE56">
        <v>1589828.6879999998</v>
      </c>
      <c r="BF56">
        <v>0</v>
      </c>
    </row>
    <row r="57" spans="2:66" x14ac:dyDescent="0.2">
      <c r="F57" s="3"/>
      <c r="G57" s="21" t="s">
        <v>57</v>
      </c>
      <c r="H57" s="30">
        <v>20000</v>
      </c>
      <c r="I57" s="30">
        <v>20000</v>
      </c>
      <c r="J57" s="30">
        <v>20000</v>
      </c>
      <c r="K57" s="30">
        <v>20000</v>
      </c>
      <c r="U57" s="21" t="s">
        <v>57</v>
      </c>
      <c r="V57" s="15">
        <v>0</v>
      </c>
      <c r="W57" s="15">
        <v>0</v>
      </c>
      <c r="X57" s="15">
        <v>0</v>
      </c>
      <c r="Y57" s="15">
        <v>0</v>
      </c>
      <c r="AI57" s="21" t="s">
        <v>57</v>
      </c>
      <c r="AJ57">
        <v>0</v>
      </c>
      <c r="AK57">
        <v>0</v>
      </c>
      <c r="AL57">
        <v>0</v>
      </c>
      <c r="AM57">
        <v>0</v>
      </c>
      <c r="BB57" s="21" t="s">
        <v>57</v>
      </c>
      <c r="BC57">
        <v>0</v>
      </c>
      <c r="BD57">
        <v>0</v>
      </c>
      <c r="BE57">
        <v>0</v>
      </c>
      <c r="BF57">
        <v>0</v>
      </c>
    </row>
    <row r="58" spans="2:66" x14ac:dyDescent="0.2">
      <c r="F58" s="3"/>
      <c r="AW58" s="1"/>
    </row>
    <row r="59" spans="2:66" x14ac:dyDescent="0.2">
      <c r="B59" s="3"/>
      <c r="C59" s="3"/>
      <c r="D59" s="3"/>
      <c r="E59" s="3"/>
      <c r="F59" s="3"/>
      <c r="G59" s="1" t="s">
        <v>1</v>
      </c>
      <c r="H59" s="11" t="s">
        <v>25</v>
      </c>
      <c r="I59" s="11" t="s">
        <v>26</v>
      </c>
      <c r="J59" s="11" t="s">
        <v>27</v>
      </c>
      <c r="K59" s="11" t="s">
        <v>28</v>
      </c>
      <c r="L59" s="11" t="s">
        <v>29</v>
      </c>
      <c r="M59" s="11" t="s">
        <v>30</v>
      </c>
      <c r="N59" s="11" t="s">
        <v>31</v>
      </c>
      <c r="O59" s="11" t="s">
        <v>32</v>
      </c>
      <c r="P59" s="11" t="s">
        <v>33</v>
      </c>
      <c r="Q59" s="11" t="s">
        <v>34</v>
      </c>
      <c r="R59" s="11" t="s">
        <v>35</v>
      </c>
      <c r="S59" s="11" t="s">
        <v>36</v>
      </c>
      <c r="U59" s="1" t="s">
        <v>1</v>
      </c>
      <c r="V59" s="11" t="s">
        <v>25</v>
      </c>
      <c r="W59" s="11" t="s">
        <v>26</v>
      </c>
      <c r="X59" s="11" t="s">
        <v>27</v>
      </c>
      <c r="Y59" s="11" t="s">
        <v>28</v>
      </c>
      <c r="Z59" s="11" t="s">
        <v>29</v>
      </c>
      <c r="AA59" s="11" t="s">
        <v>30</v>
      </c>
      <c r="AB59" s="11" t="s">
        <v>31</v>
      </c>
      <c r="AC59" s="11" t="s">
        <v>32</v>
      </c>
      <c r="AD59" s="11" t="s">
        <v>33</v>
      </c>
      <c r="AE59" s="11" t="s">
        <v>34</v>
      </c>
      <c r="AF59" s="11" t="s">
        <v>35</v>
      </c>
      <c r="AG59" s="11" t="s">
        <v>36</v>
      </c>
      <c r="AI59" s="1" t="s">
        <v>1</v>
      </c>
      <c r="AJ59" s="11" t="s">
        <v>25</v>
      </c>
      <c r="AK59" s="11" t="s">
        <v>26</v>
      </c>
      <c r="AL59" s="11" t="s">
        <v>27</v>
      </c>
      <c r="AM59" s="11" t="s">
        <v>28</v>
      </c>
      <c r="AN59" s="11" t="s">
        <v>29</v>
      </c>
      <c r="AO59" s="11" t="s">
        <v>30</v>
      </c>
      <c r="AP59" s="11" t="s">
        <v>31</v>
      </c>
      <c r="AQ59" s="11" t="s">
        <v>32</v>
      </c>
      <c r="AR59" s="11" t="s">
        <v>33</v>
      </c>
      <c r="AS59" s="11" t="s">
        <v>34</v>
      </c>
      <c r="AT59" s="11" t="s">
        <v>35</v>
      </c>
      <c r="AU59" s="11" t="s">
        <v>36</v>
      </c>
      <c r="BB59" s="1" t="s">
        <v>1</v>
      </c>
      <c r="BC59" s="11" t="s">
        <v>25</v>
      </c>
      <c r="BD59" s="11" t="s">
        <v>26</v>
      </c>
      <c r="BE59" s="11" t="s">
        <v>27</v>
      </c>
      <c r="BF59" s="11" t="s">
        <v>28</v>
      </c>
      <c r="BG59" s="11" t="s">
        <v>29</v>
      </c>
      <c r="BH59" s="11" t="s">
        <v>30</v>
      </c>
      <c r="BI59" s="11" t="s">
        <v>31</v>
      </c>
      <c r="BJ59" s="11" t="s">
        <v>32</v>
      </c>
      <c r="BK59" s="11" t="s">
        <v>33</v>
      </c>
      <c r="BL59" s="11" t="s">
        <v>34</v>
      </c>
      <c r="BM59" s="11" t="s">
        <v>35</v>
      </c>
      <c r="BN59" s="11" t="s">
        <v>36</v>
      </c>
    </row>
    <row r="60" spans="2:66" x14ac:dyDescent="0.2">
      <c r="G60" s="10" t="s">
        <v>19</v>
      </c>
      <c r="H60" s="30">
        <v>20000</v>
      </c>
      <c r="I60" s="30">
        <v>20000</v>
      </c>
      <c r="J60" s="30">
        <v>20000</v>
      </c>
      <c r="K60" s="30">
        <v>20000</v>
      </c>
      <c r="L60" s="30">
        <v>20000</v>
      </c>
      <c r="M60" s="30">
        <v>20000</v>
      </c>
      <c r="N60" s="30">
        <v>20000</v>
      </c>
      <c r="O60" s="30">
        <v>20000</v>
      </c>
      <c r="P60" s="30">
        <v>20000</v>
      </c>
      <c r="Q60" s="30">
        <v>20000</v>
      </c>
      <c r="R60" s="30">
        <v>20000</v>
      </c>
      <c r="S60" s="30">
        <v>20000</v>
      </c>
      <c r="U60" s="10" t="s">
        <v>19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I60" s="10" t="s">
        <v>19</v>
      </c>
      <c r="AJ60" s="30" cm="1">
        <f t="array" ref="AJ60:AU63">(C5*H60:S63+B21:B24)*V60:AG63</f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BB60" s="10" t="s">
        <v>19</v>
      </c>
      <c r="BC60" s="30" cm="1">
        <f t="array" ref="BC60:BN63">H60:S63*(V60:AG63/B7)*24</f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2:66" x14ac:dyDescent="0.2">
      <c r="B61" s="3"/>
      <c r="C61" s="3"/>
      <c r="D61" s="3"/>
      <c r="E61" s="3"/>
      <c r="F61" s="3"/>
      <c r="G61" s="10" t="s">
        <v>20</v>
      </c>
      <c r="H61" s="30">
        <v>20000</v>
      </c>
      <c r="I61" s="30">
        <v>20000</v>
      </c>
      <c r="J61" s="30">
        <v>20000</v>
      </c>
      <c r="K61" s="30">
        <v>20000</v>
      </c>
      <c r="L61" s="30">
        <v>20000</v>
      </c>
      <c r="M61" s="30">
        <v>20000</v>
      </c>
      <c r="N61" s="30">
        <v>20000</v>
      </c>
      <c r="O61" s="30">
        <v>20000</v>
      </c>
      <c r="P61" s="30">
        <v>20000</v>
      </c>
      <c r="Q61" s="30">
        <v>20000</v>
      </c>
      <c r="R61" s="30">
        <v>20000</v>
      </c>
      <c r="S61" s="30">
        <v>20000</v>
      </c>
      <c r="U61" s="10" t="s">
        <v>20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I61" s="10" t="s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BB61" s="10" t="s">
        <v>20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2:66" x14ac:dyDescent="0.2">
      <c r="B62" s="3"/>
      <c r="C62" s="3"/>
      <c r="D62" s="3"/>
      <c r="E62" s="3"/>
      <c r="F62" s="3"/>
      <c r="G62" s="10" t="s">
        <v>21</v>
      </c>
      <c r="H62" s="30">
        <v>20000</v>
      </c>
      <c r="I62">
        <v>7382.62</v>
      </c>
      <c r="J62">
        <v>7252.73</v>
      </c>
      <c r="K62" s="30">
        <v>20000</v>
      </c>
      <c r="L62" s="30">
        <v>20000</v>
      </c>
      <c r="M62" s="30">
        <v>20000</v>
      </c>
      <c r="N62" s="30">
        <v>20000</v>
      </c>
      <c r="O62">
        <v>1803.76</v>
      </c>
      <c r="P62" s="30">
        <v>20000</v>
      </c>
      <c r="Q62" s="30">
        <v>20000</v>
      </c>
      <c r="R62">
        <v>3951.36</v>
      </c>
      <c r="S62" s="30">
        <v>20000</v>
      </c>
      <c r="U62" s="10" t="s">
        <v>21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17500</v>
      </c>
      <c r="AD62" s="15">
        <v>0</v>
      </c>
      <c r="AE62" s="15">
        <v>0</v>
      </c>
      <c r="AF62" s="15">
        <v>44000</v>
      </c>
      <c r="AG62" s="15">
        <v>0</v>
      </c>
      <c r="AI62" s="10" t="s">
        <v>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1863164.5448499997</v>
      </c>
      <c r="AR62">
        <v>0</v>
      </c>
      <c r="AS62">
        <v>0</v>
      </c>
      <c r="AT62">
        <v>10030170.70088</v>
      </c>
      <c r="AU62">
        <v>0</v>
      </c>
      <c r="BB62" s="10" t="s">
        <v>21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1992433.2959999996</v>
      </c>
      <c r="BK62">
        <v>0</v>
      </c>
      <c r="BL62">
        <v>0</v>
      </c>
      <c r="BM62">
        <v>10974033.1008</v>
      </c>
      <c r="BN62">
        <v>0</v>
      </c>
    </row>
    <row r="63" spans="2:66" x14ac:dyDescent="0.2">
      <c r="B63" s="3"/>
      <c r="C63" s="3"/>
      <c r="D63" s="3"/>
      <c r="E63" s="3"/>
      <c r="F63" s="3"/>
      <c r="G63" s="10" t="s">
        <v>22</v>
      </c>
      <c r="H63" s="30">
        <v>20000</v>
      </c>
      <c r="I63">
        <v>430.2</v>
      </c>
      <c r="J63" s="30">
        <v>20000</v>
      </c>
      <c r="K63" s="30">
        <v>20000</v>
      </c>
      <c r="L63" s="30">
        <v>20000</v>
      </c>
      <c r="M63" s="30">
        <v>20000</v>
      </c>
      <c r="N63" s="30">
        <v>20000</v>
      </c>
      <c r="O63">
        <v>5892.31</v>
      </c>
      <c r="P63" s="30">
        <v>20000</v>
      </c>
      <c r="Q63" s="30">
        <v>20000</v>
      </c>
      <c r="R63">
        <v>3425.34</v>
      </c>
      <c r="S63" s="30">
        <v>20000</v>
      </c>
      <c r="U63" s="10" t="s">
        <v>22</v>
      </c>
      <c r="V63" s="15">
        <v>0</v>
      </c>
      <c r="W63" s="15">
        <v>6000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I63" s="10" t="s">
        <v>22</v>
      </c>
      <c r="AJ63">
        <v>0</v>
      </c>
      <c r="AK63">
        <v>188540.06519999998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BB63" s="10" t="s">
        <v>22</v>
      </c>
      <c r="BC63">
        <v>0</v>
      </c>
      <c r="BD63">
        <v>162925.34399999998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2:66" x14ac:dyDescent="0.2">
      <c r="B64" s="3"/>
      <c r="C64" s="3"/>
      <c r="D64" s="3"/>
      <c r="E64" s="3"/>
      <c r="F64" s="3"/>
    </row>
    <row r="65" spans="7:56" x14ac:dyDescent="0.2">
      <c r="G65" s="3"/>
      <c r="H65" s="3"/>
      <c r="I65" s="3"/>
      <c r="J65" s="3"/>
      <c r="K65" s="3"/>
      <c r="L65" s="3"/>
      <c r="M65" s="3"/>
      <c r="AI65" s="4"/>
      <c r="BB65" s="1" t="s">
        <v>72</v>
      </c>
    </row>
    <row r="66" spans="7:56" x14ac:dyDescent="0.2">
      <c r="G66" s="3"/>
      <c r="H66" s="3"/>
      <c r="I66" s="3"/>
      <c r="J66" s="30"/>
      <c r="K66" s="3"/>
      <c r="L66" s="3"/>
      <c r="M66" s="3"/>
      <c r="AI66" s="3"/>
      <c r="BB66" s="30">
        <f>SUM(_xlfn.ANCHORARRAY(BC4),_xlfn.ANCHORARRAY(BC8),_xlfn.ANCHORARRAY(BC18),_xlfn.ANCHORARRAY(BC29),_xlfn.ANCHORARRAY(BC39),_xlfn.ANCHORARRAY(BC46),_xlfn.ANCHORARRAY(BC50),_xlfn.ANCHORARRAY(BC60))</f>
        <v>114956767.88853745</v>
      </c>
      <c r="BC66" t="s">
        <v>44</v>
      </c>
      <c r="BD66" s="30">
        <v>120000000</v>
      </c>
    </row>
    <row r="67" spans="7:56" x14ac:dyDescent="0.2">
      <c r="G67" s="3"/>
      <c r="H67" s="3"/>
      <c r="I67" s="3"/>
      <c r="J67" s="3"/>
      <c r="K67" s="3"/>
      <c r="L67" s="3"/>
      <c r="M67" s="3"/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FC7A-197D-C14E-B256-4EBB19F230A7}">
  <dimension ref="A1:U124"/>
  <sheetViews>
    <sheetView tabSelected="1" topLeftCell="A77" zoomScale="75" zoomScaleNormal="44" workbookViewId="0">
      <selection activeCell="A118" sqref="A118:C124"/>
    </sheetView>
  </sheetViews>
  <sheetFormatPr baseColWidth="10" defaultColWidth="11" defaultRowHeight="16" x14ac:dyDescent="0.2"/>
  <cols>
    <col min="2" max="2" width="13" customWidth="1"/>
    <col min="3" max="3" width="12.1640625" customWidth="1"/>
    <col min="4" max="4" width="14.33203125" customWidth="1"/>
    <col min="5" max="5" width="19.1640625" customWidth="1"/>
    <col min="6" max="6" width="14.83203125" customWidth="1"/>
    <col min="7" max="7" width="18.6640625" customWidth="1"/>
    <col min="8" max="8" width="16" customWidth="1"/>
    <col min="9" max="9" width="15.5" customWidth="1"/>
    <col min="10" max="10" width="20.33203125" customWidth="1"/>
    <col min="11" max="11" width="19.6640625" customWidth="1"/>
    <col min="12" max="12" width="19.1640625" customWidth="1"/>
    <col min="13" max="13" width="17.33203125" customWidth="1"/>
    <col min="14" max="14" width="19.1640625" customWidth="1"/>
    <col min="15" max="15" width="18.83203125" customWidth="1"/>
    <col min="16" max="16" width="19.6640625" customWidth="1"/>
    <col min="17" max="17" width="19" customWidth="1"/>
    <col min="18" max="18" width="22.33203125" customWidth="1"/>
    <col min="19" max="19" width="19.5" customWidth="1"/>
    <col min="20" max="20" width="20.33203125" customWidth="1"/>
    <col min="21" max="21" width="18.33203125" customWidth="1"/>
  </cols>
  <sheetData>
    <row r="1" spans="1:19" x14ac:dyDescent="0.2">
      <c r="A1" s="32" t="s">
        <v>90</v>
      </c>
      <c r="B1" s="32" t="s">
        <v>91</v>
      </c>
      <c r="C1" s="32" t="s">
        <v>18</v>
      </c>
      <c r="D1" s="32" t="s">
        <v>92</v>
      </c>
      <c r="E1" s="32" t="s">
        <v>93</v>
      </c>
      <c r="F1" s="32" t="s">
        <v>94</v>
      </c>
      <c r="G1" s="32" t="s">
        <v>95</v>
      </c>
      <c r="H1" s="32" t="s">
        <v>96</v>
      </c>
      <c r="I1" s="32" t="s">
        <v>97</v>
      </c>
      <c r="J1" s="32" t="s">
        <v>98</v>
      </c>
      <c r="K1" s="32" t="s">
        <v>99</v>
      </c>
      <c r="L1" s="32" t="s">
        <v>100</v>
      </c>
      <c r="M1" s="32" t="s">
        <v>101</v>
      </c>
      <c r="N1" s="32" t="s">
        <v>176</v>
      </c>
      <c r="O1" s="32" t="s">
        <v>177</v>
      </c>
      <c r="P1" s="32" t="s">
        <v>186</v>
      </c>
      <c r="Q1" s="32" t="s">
        <v>187</v>
      </c>
      <c r="R1" s="32" t="s">
        <v>188</v>
      </c>
      <c r="S1" s="32" t="s">
        <v>189</v>
      </c>
    </row>
    <row r="2" spans="1:19" x14ac:dyDescent="0.2">
      <c r="A2" t="s">
        <v>12</v>
      </c>
      <c r="B2">
        <v>25.072134250000001</v>
      </c>
      <c r="C2">
        <v>121.679919</v>
      </c>
      <c r="D2">
        <v>3.3436923080000001</v>
      </c>
      <c r="E2" t="s">
        <v>80</v>
      </c>
      <c r="F2" t="s">
        <v>102</v>
      </c>
      <c r="G2" t="s">
        <v>103</v>
      </c>
      <c r="H2">
        <v>0</v>
      </c>
      <c r="I2" cm="1">
        <f t="array" ref="I2:I27">D2:D27*H2:H27</f>
        <v>0</v>
      </c>
      <c r="J2">
        <v>0</v>
      </c>
      <c r="K2" cm="1">
        <f t="array" ref="K2:K27">D2:D27*J2:J27</f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34500</v>
      </c>
      <c r="S2">
        <v>0</v>
      </c>
    </row>
    <row r="3" spans="1:19" x14ac:dyDescent="0.2">
      <c r="A3" t="s">
        <v>14</v>
      </c>
      <c r="B3">
        <v>31.232343700000001</v>
      </c>
      <c r="C3">
        <v>121.4691024</v>
      </c>
      <c r="D3">
        <v>3.4233846149999998</v>
      </c>
      <c r="E3" t="s">
        <v>80</v>
      </c>
      <c r="F3" t="s">
        <v>104</v>
      </c>
      <c r="G3" t="s">
        <v>105</v>
      </c>
      <c r="H3">
        <v>234500</v>
      </c>
      <c r="I3">
        <v>802783.69221749995</v>
      </c>
      <c r="J3">
        <v>79500</v>
      </c>
      <c r="K3">
        <v>272159.07689249999</v>
      </c>
      <c r="L3">
        <v>234500</v>
      </c>
      <c r="M3">
        <v>0</v>
      </c>
      <c r="N3">
        <v>79500</v>
      </c>
      <c r="O3">
        <v>0</v>
      </c>
      <c r="P3">
        <v>34534</v>
      </c>
      <c r="Q3">
        <v>0</v>
      </c>
      <c r="R3">
        <v>0</v>
      </c>
      <c r="S3">
        <v>0</v>
      </c>
    </row>
    <row r="4" spans="1:19" x14ac:dyDescent="0.2">
      <c r="A4" t="s">
        <v>8</v>
      </c>
      <c r="B4">
        <v>48.110300000000002</v>
      </c>
      <c r="C4">
        <v>16.569600000000001</v>
      </c>
      <c r="D4">
        <v>6.5338846149999998</v>
      </c>
      <c r="E4" t="s">
        <v>81</v>
      </c>
      <c r="F4" t="s">
        <v>106</v>
      </c>
      <c r="G4" t="s">
        <v>107</v>
      </c>
      <c r="H4">
        <v>100000</v>
      </c>
      <c r="I4">
        <v>653388.46149999998</v>
      </c>
      <c r="J4">
        <v>1000</v>
      </c>
      <c r="K4">
        <v>6533.8846149999999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9</v>
      </c>
      <c r="B5">
        <v>54.361699999999999</v>
      </c>
      <c r="C5">
        <v>18.651399999999999</v>
      </c>
      <c r="D5">
        <v>4.3022692310000004</v>
      </c>
      <c r="E5" t="s">
        <v>81</v>
      </c>
      <c r="F5" t="s">
        <v>108</v>
      </c>
      <c r="G5" t="s">
        <v>109</v>
      </c>
      <c r="H5">
        <v>134500</v>
      </c>
      <c r="I5">
        <v>578655.21156950004</v>
      </c>
      <c r="J5">
        <v>78500</v>
      </c>
      <c r="K5">
        <v>337728.13463350001</v>
      </c>
      <c r="L5">
        <v>234500</v>
      </c>
      <c r="M5">
        <v>0</v>
      </c>
      <c r="N5">
        <v>79500</v>
      </c>
      <c r="O5">
        <v>0</v>
      </c>
      <c r="P5">
        <v>0</v>
      </c>
      <c r="Q5">
        <v>0</v>
      </c>
      <c r="R5">
        <v>34500</v>
      </c>
      <c r="S5">
        <v>0</v>
      </c>
    </row>
    <row r="6" spans="1:19" x14ac:dyDescent="0.2">
      <c r="A6" t="s">
        <v>10</v>
      </c>
      <c r="B6">
        <v>49.009700000000002</v>
      </c>
      <c r="C6">
        <v>2.5478999999999998</v>
      </c>
      <c r="D6">
        <v>5.6759230770000002</v>
      </c>
      <c r="E6" t="s">
        <v>81</v>
      </c>
      <c r="F6" t="s">
        <v>110</v>
      </c>
      <c r="G6" t="s">
        <v>111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34534</v>
      </c>
      <c r="Q6">
        <v>0</v>
      </c>
      <c r="R6">
        <v>0</v>
      </c>
      <c r="S6">
        <v>0</v>
      </c>
    </row>
    <row r="7" spans="1:19" x14ac:dyDescent="0.2">
      <c r="A7" t="s">
        <v>19</v>
      </c>
      <c r="B7">
        <v>50.029000000000003</v>
      </c>
      <c r="C7">
        <v>15.808999999999999</v>
      </c>
      <c r="D7">
        <v>4.7682692309999997</v>
      </c>
      <c r="E7" t="s">
        <v>82</v>
      </c>
      <c r="F7" t="s">
        <v>112</v>
      </c>
      <c r="G7" t="s">
        <v>113</v>
      </c>
      <c r="H7">
        <v>45000</v>
      </c>
      <c r="I7">
        <v>214572.11539499997</v>
      </c>
      <c r="J7">
        <v>16500</v>
      </c>
      <c r="K7">
        <v>78676.442311499995</v>
      </c>
      <c r="L7">
        <v>45000</v>
      </c>
      <c r="M7">
        <v>0</v>
      </c>
      <c r="N7">
        <v>24000</v>
      </c>
      <c r="O7">
        <v>0</v>
      </c>
      <c r="P7">
        <v>25000</v>
      </c>
      <c r="Q7">
        <v>0</v>
      </c>
      <c r="R7">
        <v>41500</v>
      </c>
      <c r="S7">
        <v>0</v>
      </c>
    </row>
    <row r="8" spans="1:19" x14ac:dyDescent="0.2">
      <c r="A8" t="s">
        <v>20</v>
      </c>
      <c r="B8">
        <v>50.334299999999999</v>
      </c>
      <c r="C8">
        <v>2.9289999999999998</v>
      </c>
      <c r="D8">
        <v>5.6759230770000002</v>
      </c>
      <c r="E8" t="s">
        <v>82</v>
      </c>
      <c r="F8" t="s">
        <v>114</v>
      </c>
      <c r="G8" t="s">
        <v>111</v>
      </c>
      <c r="H8">
        <v>62000</v>
      </c>
      <c r="I8">
        <v>351907.230774</v>
      </c>
      <c r="J8">
        <v>62000</v>
      </c>
      <c r="K8">
        <v>351907.230774</v>
      </c>
      <c r="L8">
        <v>62000</v>
      </c>
      <c r="M8">
        <v>0</v>
      </c>
      <c r="N8">
        <v>55500</v>
      </c>
      <c r="O8">
        <v>0</v>
      </c>
      <c r="P8">
        <v>54500</v>
      </c>
      <c r="Q8">
        <v>0</v>
      </c>
      <c r="R8">
        <v>18000</v>
      </c>
      <c r="S8">
        <v>0</v>
      </c>
    </row>
    <row r="9" spans="1:19" x14ac:dyDescent="0.2">
      <c r="A9" t="s">
        <v>21</v>
      </c>
      <c r="B9">
        <v>56.896000000000001</v>
      </c>
      <c r="C9">
        <v>24.045999999999999</v>
      </c>
      <c r="D9">
        <v>4.4260384620000002</v>
      </c>
      <c r="E9" t="s">
        <v>82</v>
      </c>
      <c r="F9" t="s">
        <v>115</v>
      </c>
      <c r="G9" t="s">
        <v>116</v>
      </c>
      <c r="H9">
        <v>27500</v>
      </c>
      <c r="I9">
        <v>121716.057705</v>
      </c>
      <c r="J9">
        <v>60000</v>
      </c>
      <c r="K9">
        <v>265562.30771999998</v>
      </c>
      <c r="L9">
        <v>27500</v>
      </c>
      <c r="M9">
        <v>0</v>
      </c>
      <c r="N9">
        <v>60000</v>
      </c>
      <c r="O9">
        <v>0</v>
      </c>
      <c r="P9">
        <v>60000</v>
      </c>
      <c r="Q9">
        <v>0</v>
      </c>
      <c r="R9">
        <v>75000</v>
      </c>
      <c r="S9">
        <v>0</v>
      </c>
    </row>
    <row r="10" spans="1:19" x14ac:dyDescent="0.2">
      <c r="A10" t="s">
        <v>22</v>
      </c>
      <c r="B10">
        <v>38.043999999999997</v>
      </c>
      <c r="C10">
        <v>23.798999999999999</v>
      </c>
      <c r="D10">
        <v>7.0865</v>
      </c>
      <c r="E10" t="s">
        <v>82</v>
      </c>
      <c r="F10" t="s">
        <v>117</v>
      </c>
      <c r="G10" t="s">
        <v>118</v>
      </c>
      <c r="H10">
        <v>100000</v>
      </c>
      <c r="I10">
        <v>708650</v>
      </c>
      <c r="J10">
        <v>96000</v>
      </c>
      <c r="K10">
        <v>680304</v>
      </c>
      <c r="L10">
        <v>100000</v>
      </c>
      <c r="M10">
        <v>0</v>
      </c>
      <c r="N10">
        <v>95000</v>
      </c>
      <c r="O10">
        <v>0</v>
      </c>
      <c r="P10">
        <v>95000</v>
      </c>
      <c r="Q10">
        <v>0</v>
      </c>
      <c r="R10">
        <v>100000</v>
      </c>
      <c r="S10">
        <v>0</v>
      </c>
    </row>
    <row r="11" spans="1:19" x14ac:dyDescent="0.2">
      <c r="A11" t="s">
        <v>25</v>
      </c>
      <c r="B11">
        <v>47.9556915</v>
      </c>
      <c r="C11">
        <v>-1.495366</v>
      </c>
      <c r="D11">
        <v>0</v>
      </c>
      <c r="E11" t="s">
        <v>83</v>
      </c>
      <c r="F11" t="s">
        <v>119</v>
      </c>
      <c r="G11" t="s">
        <v>111</v>
      </c>
      <c r="H11" s="3">
        <v>7000</v>
      </c>
      <c r="I11">
        <v>0</v>
      </c>
      <c r="J11" s="3">
        <v>7000</v>
      </c>
      <c r="K11">
        <v>0</v>
      </c>
      <c r="L11" s="3">
        <v>7000</v>
      </c>
      <c r="M11">
        <v>0</v>
      </c>
      <c r="N11" s="3">
        <v>7000</v>
      </c>
      <c r="O11">
        <v>0</v>
      </c>
      <c r="P11" s="3">
        <v>7000</v>
      </c>
      <c r="Q11">
        <v>0</v>
      </c>
      <c r="R11" s="3">
        <v>7000</v>
      </c>
      <c r="S11">
        <v>0</v>
      </c>
    </row>
    <row r="12" spans="1:19" x14ac:dyDescent="0.2">
      <c r="A12" t="s">
        <v>26</v>
      </c>
      <c r="B12">
        <v>35.773417549999998</v>
      </c>
      <c r="C12">
        <v>27.18143074</v>
      </c>
      <c r="D12">
        <v>0</v>
      </c>
      <c r="E12" t="s">
        <v>83</v>
      </c>
      <c r="F12" t="s">
        <v>120</v>
      </c>
      <c r="G12" t="s">
        <v>118</v>
      </c>
      <c r="H12" s="3">
        <v>6000</v>
      </c>
      <c r="I12">
        <v>0</v>
      </c>
      <c r="J12" s="3">
        <v>6000</v>
      </c>
      <c r="K12">
        <v>0</v>
      </c>
      <c r="L12" s="3">
        <v>6000</v>
      </c>
      <c r="M12">
        <v>0</v>
      </c>
      <c r="N12" s="3">
        <v>6000</v>
      </c>
      <c r="O12">
        <v>0</v>
      </c>
      <c r="P12" s="3">
        <v>6000</v>
      </c>
      <c r="Q12">
        <v>0</v>
      </c>
      <c r="R12" s="3">
        <v>6000</v>
      </c>
      <c r="S12">
        <v>0</v>
      </c>
    </row>
    <row r="13" spans="1:19" x14ac:dyDescent="0.2">
      <c r="A13" t="s">
        <v>27</v>
      </c>
      <c r="B13">
        <v>37.983941199999997</v>
      </c>
      <c r="C13">
        <v>23.728305200000001</v>
      </c>
      <c r="D13">
        <v>0</v>
      </c>
      <c r="E13" t="s">
        <v>83</v>
      </c>
      <c r="F13" t="s">
        <v>117</v>
      </c>
      <c r="G13" t="s">
        <v>118</v>
      </c>
      <c r="H13" s="3">
        <v>114500</v>
      </c>
      <c r="I13">
        <v>0</v>
      </c>
      <c r="J13" s="3">
        <v>114500</v>
      </c>
      <c r="K13">
        <v>0</v>
      </c>
      <c r="L13" s="3">
        <v>114500</v>
      </c>
      <c r="M13">
        <v>0</v>
      </c>
      <c r="N13" s="3">
        <v>114500</v>
      </c>
      <c r="O13">
        <v>0</v>
      </c>
      <c r="P13" s="3">
        <v>114500</v>
      </c>
      <c r="Q13">
        <v>0</v>
      </c>
      <c r="R13" s="3">
        <v>114500</v>
      </c>
      <c r="S13">
        <v>0</v>
      </c>
    </row>
    <row r="14" spans="1:19" x14ac:dyDescent="0.2">
      <c r="A14" t="s">
        <v>28</v>
      </c>
      <c r="B14">
        <v>45.747956299999998</v>
      </c>
      <c r="C14">
        <v>-0.338561373</v>
      </c>
      <c r="D14">
        <v>0</v>
      </c>
      <c r="E14" t="s">
        <v>83</v>
      </c>
      <c r="F14" t="s">
        <v>121</v>
      </c>
      <c r="G14" t="s">
        <v>111</v>
      </c>
      <c r="H14" s="3">
        <v>3000</v>
      </c>
      <c r="I14">
        <v>0</v>
      </c>
      <c r="J14" s="3">
        <v>3000</v>
      </c>
      <c r="K14">
        <v>0</v>
      </c>
      <c r="L14" s="3">
        <v>3000</v>
      </c>
      <c r="M14">
        <v>0</v>
      </c>
      <c r="N14" s="3">
        <v>3000</v>
      </c>
      <c r="O14">
        <v>0</v>
      </c>
      <c r="P14" s="3">
        <v>3000</v>
      </c>
      <c r="Q14">
        <v>0</v>
      </c>
      <c r="R14" s="3">
        <v>3000</v>
      </c>
      <c r="S14">
        <v>0</v>
      </c>
    </row>
    <row r="15" spans="1:19" x14ac:dyDescent="0.2">
      <c r="A15" t="s">
        <v>29</v>
      </c>
      <c r="B15">
        <v>48.224243399999999</v>
      </c>
      <c r="C15">
        <v>11.6715263</v>
      </c>
      <c r="D15">
        <v>0</v>
      </c>
      <c r="E15" t="s">
        <v>83</v>
      </c>
      <c r="F15" t="s">
        <v>122</v>
      </c>
      <c r="G15" t="s">
        <v>123</v>
      </c>
      <c r="H15" s="3">
        <v>16500</v>
      </c>
      <c r="I15">
        <v>0</v>
      </c>
      <c r="J15" s="3">
        <v>16500</v>
      </c>
      <c r="K15">
        <v>0</v>
      </c>
      <c r="L15" s="3">
        <v>16500</v>
      </c>
      <c r="M15">
        <v>0</v>
      </c>
      <c r="N15" s="3">
        <v>16500</v>
      </c>
      <c r="O15">
        <v>0</v>
      </c>
      <c r="P15" s="3">
        <v>16500</v>
      </c>
      <c r="Q15">
        <v>0</v>
      </c>
      <c r="R15" s="3">
        <v>16500</v>
      </c>
      <c r="S15">
        <v>0</v>
      </c>
    </row>
    <row r="16" spans="1:19" x14ac:dyDescent="0.2">
      <c r="A16" t="s">
        <v>30</v>
      </c>
      <c r="B16">
        <v>51.783499399999997</v>
      </c>
      <c r="C16">
        <v>-0.89464405400000002</v>
      </c>
      <c r="D16">
        <v>0</v>
      </c>
      <c r="E16" t="s">
        <v>83</v>
      </c>
      <c r="F16" t="s">
        <v>124</v>
      </c>
      <c r="G16" t="s">
        <v>125</v>
      </c>
      <c r="H16" s="3">
        <v>6500</v>
      </c>
      <c r="I16">
        <v>0</v>
      </c>
      <c r="J16" s="3">
        <v>6500</v>
      </c>
      <c r="K16">
        <v>0</v>
      </c>
      <c r="L16" s="3">
        <v>6500</v>
      </c>
      <c r="M16">
        <v>0</v>
      </c>
      <c r="N16" s="3">
        <v>6500</v>
      </c>
      <c r="O16">
        <v>0</v>
      </c>
      <c r="P16" s="3">
        <v>6500</v>
      </c>
      <c r="Q16">
        <v>0</v>
      </c>
      <c r="R16" s="3">
        <v>6500</v>
      </c>
      <c r="S16">
        <v>0</v>
      </c>
    </row>
    <row r="17" spans="1:21" x14ac:dyDescent="0.2">
      <c r="A17" t="s">
        <v>31</v>
      </c>
      <c r="B17">
        <v>48.785892099999998</v>
      </c>
      <c r="C17">
        <v>3.0292059</v>
      </c>
      <c r="D17">
        <v>0</v>
      </c>
      <c r="E17" t="s">
        <v>83</v>
      </c>
      <c r="F17" t="s">
        <v>126</v>
      </c>
      <c r="G17" t="s">
        <v>111</v>
      </c>
      <c r="H17" s="3">
        <v>500</v>
      </c>
      <c r="I17">
        <v>0</v>
      </c>
      <c r="J17" s="3">
        <v>500</v>
      </c>
      <c r="K17">
        <v>0</v>
      </c>
      <c r="L17" s="3">
        <v>500</v>
      </c>
      <c r="M17">
        <v>0</v>
      </c>
      <c r="N17" s="3">
        <v>500</v>
      </c>
      <c r="O17">
        <v>0</v>
      </c>
      <c r="P17" s="3">
        <v>500</v>
      </c>
      <c r="Q17">
        <v>0</v>
      </c>
      <c r="R17" s="3">
        <v>500</v>
      </c>
      <c r="S17">
        <v>0</v>
      </c>
    </row>
    <row r="18" spans="1:21" x14ac:dyDescent="0.2">
      <c r="A18" t="s">
        <v>32</v>
      </c>
      <c r="B18">
        <v>53.6736529</v>
      </c>
      <c r="C18">
        <v>10.2358999</v>
      </c>
      <c r="D18">
        <v>0</v>
      </c>
      <c r="E18" t="s">
        <v>83</v>
      </c>
      <c r="F18" t="s">
        <v>127</v>
      </c>
      <c r="G18" t="s">
        <v>123</v>
      </c>
      <c r="H18" s="3">
        <v>22000</v>
      </c>
      <c r="I18">
        <v>0</v>
      </c>
      <c r="J18" s="3">
        <v>22000</v>
      </c>
      <c r="K18">
        <v>0</v>
      </c>
      <c r="L18" s="3">
        <v>22000</v>
      </c>
      <c r="M18">
        <v>0</v>
      </c>
      <c r="N18" s="3">
        <v>22000</v>
      </c>
      <c r="O18">
        <v>0</v>
      </c>
      <c r="P18" s="3">
        <v>22000</v>
      </c>
      <c r="Q18">
        <v>0</v>
      </c>
      <c r="R18" s="3">
        <v>22000</v>
      </c>
      <c r="S18">
        <v>0</v>
      </c>
    </row>
    <row r="19" spans="1:21" x14ac:dyDescent="0.2">
      <c r="A19" t="s">
        <v>33</v>
      </c>
      <c r="B19">
        <v>54.898213900000002</v>
      </c>
      <c r="C19">
        <v>23.904481700000002</v>
      </c>
      <c r="D19">
        <v>0</v>
      </c>
      <c r="E19" t="s">
        <v>83</v>
      </c>
      <c r="F19" t="s">
        <v>128</v>
      </c>
      <c r="G19" t="s">
        <v>129</v>
      </c>
      <c r="H19" s="3">
        <v>13000</v>
      </c>
      <c r="I19">
        <v>0</v>
      </c>
      <c r="J19" s="3">
        <v>13000</v>
      </c>
      <c r="K19">
        <v>0</v>
      </c>
      <c r="L19" s="3">
        <v>13000</v>
      </c>
      <c r="M19">
        <v>0</v>
      </c>
      <c r="N19" s="3">
        <v>13000</v>
      </c>
      <c r="O19">
        <v>0</v>
      </c>
      <c r="P19" s="3">
        <v>13000</v>
      </c>
      <c r="Q19">
        <v>0</v>
      </c>
      <c r="R19" s="3">
        <v>13000</v>
      </c>
      <c r="S19">
        <v>0</v>
      </c>
    </row>
    <row r="20" spans="1:21" x14ac:dyDescent="0.2">
      <c r="A20" t="s">
        <v>34</v>
      </c>
      <c r="B20">
        <v>40.713449099999998</v>
      </c>
      <c r="C20">
        <v>-8.4825639000000006</v>
      </c>
      <c r="D20">
        <v>0</v>
      </c>
      <c r="E20" t="s">
        <v>83</v>
      </c>
      <c r="F20" t="s">
        <v>130</v>
      </c>
      <c r="G20" t="s">
        <v>131</v>
      </c>
      <c r="H20" s="3">
        <v>1000</v>
      </c>
      <c r="I20">
        <v>0</v>
      </c>
      <c r="J20" s="3">
        <v>1000</v>
      </c>
      <c r="K20">
        <v>0</v>
      </c>
      <c r="L20" s="3">
        <v>1000</v>
      </c>
      <c r="M20">
        <v>0</v>
      </c>
      <c r="N20" s="3">
        <v>1000</v>
      </c>
      <c r="O20">
        <v>0</v>
      </c>
      <c r="P20" s="3">
        <v>1000</v>
      </c>
      <c r="Q20">
        <v>0</v>
      </c>
      <c r="R20" s="3">
        <v>1000</v>
      </c>
      <c r="S20">
        <v>0</v>
      </c>
    </row>
    <row r="21" spans="1:21" x14ac:dyDescent="0.2">
      <c r="A21" t="s">
        <v>35</v>
      </c>
      <c r="B21">
        <v>38.8735511</v>
      </c>
      <c r="C21">
        <v>-9.0785503999999992</v>
      </c>
      <c r="D21">
        <v>0</v>
      </c>
      <c r="E21" t="s">
        <v>83</v>
      </c>
      <c r="F21" t="s">
        <v>132</v>
      </c>
      <c r="G21" t="s">
        <v>131</v>
      </c>
      <c r="H21" s="3">
        <v>44000</v>
      </c>
      <c r="I21">
        <v>0</v>
      </c>
      <c r="J21" s="3">
        <v>44000</v>
      </c>
      <c r="K21">
        <v>0</v>
      </c>
      <c r="L21" s="3">
        <v>44000</v>
      </c>
      <c r="M21">
        <v>0</v>
      </c>
      <c r="N21" s="3">
        <v>44000</v>
      </c>
      <c r="O21">
        <v>0</v>
      </c>
      <c r="P21" s="3">
        <v>44000</v>
      </c>
      <c r="Q21">
        <v>0</v>
      </c>
      <c r="R21" s="3">
        <v>44000</v>
      </c>
      <c r="S21">
        <v>0</v>
      </c>
    </row>
    <row r="22" spans="1:21" x14ac:dyDescent="0.2">
      <c r="A22" t="s">
        <v>36</v>
      </c>
      <c r="B22">
        <v>63.246777700000003</v>
      </c>
      <c r="C22">
        <v>25.920916399999999</v>
      </c>
      <c r="D22">
        <v>0</v>
      </c>
      <c r="E22" t="s">
        <v>83</v>
      </c>
      <c r="F22" t="s">
        <v>133</v>
      </c>
      <c r="G22" t="s">
        <v>134</v>
      </c>
      <c r="H22" s="3">
        <v>500</v>
      </c>
      <c r="I22">
        <v>0</v>
      </c>
      <c r="J22" s="3">
        <v>500</v>
      </c>
      <c r="K22">
        <v>0</v>
      </c>
      <c r="L22" s="3">
        <v>500</v>
      </c>
      <c r="M22">
        <v>0</v>
      </c>
      <c r="N22" s="3">
        <v>500</v>
      </c>
      <c r="O22">
        <v>0</v>
      </c>
      <c r="P22" s="3">
        <v>500</v>
      </c>
      <c r="Q22">
        <v>0</v>
      </c>
      <c r="R22" s="3">
        <v>500</v>
      </c>
      <c r="S22">
        <v>0</v>
      </c>
    </row>
    <row r="23" spans="1:21" x14ac:dyDescent="0.2">
      <c r="A23" t="s">
        <v>53</v>
      </c>
      <c r="B23">
        <v>50.075499999999998</v>
      </c>
      <c r="C23">
        <v>14.437799999999999</v>
      </c>
      <c r="D23">
        <v>4.7682692309999997</v>
      </c>
      <c r="E23" t="s">
        <v>85</v>
      </c>
      <c r="F23" t="s">
        <v>84</v>
      </c>
      <c r="G23" t="s">
        <v>113</v>
      </c>
      <c r="H23" s="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25000</v>
      </c>
      <c r="Q23">
        <v>0</v>
      </c>
      <c r="R23">
        <v>25000</v>
      </c>
      <c r="S23">
        <v>0</v>
      </c>
    </row>
    <row r="24" spans="1:21" x14ac:dyDescent="0.2">
      <c r="A24" t="s">
        <v>54</v>
      </c>
      <c r="B24">
        <v>47.497900000000001</v>
      </c>
      <c r="C24">
        <v>19.040199999999999</v>
      </c>
      <c r="D24">
        <v>4.7096153850000002</v>
      </c>
      <c r="E24" t="s">
        <v>85</v>
      </c>
      <c r="F24" t="s">
        <v>86</v>
      </c>
      <c r="G24" t="s">
        <v>135</v>
      </c>
      <c r="H24" s="3">
        <v>0</v>
      </c>
      <c r="I24">
        <v>0</v>
      </c>
      <c r="J24">
        <v>50000</v>
      </c>
      <c r="K24">
        <v>235480.76925000001</v>
      </c>
      <c r="L24">
        <v>0</v>
      </c>
      <c r="M24">
        <v>0</v>
      </c>
      <c r="N24">
        <v>50000</v>
      </c>
      <c r="O24">
        <v>0</v>
      </c>
      <c r="P24">
        <v>50000</v>
      </c>
      <c r="Q24">
        <v>0</v>
      </c>
      <c r="R24">
        <v>50000</v>
      </c>
      <c r="S24">
        <v>0</v>
      </c>
    </row>
    <row r="25" spans="1:21" x14ac:dyDescent="0.2">
      <c r="A25" t="s">
        <v>55</v>
      </c>
      <c r="B25">
        <v>53.349800000000002</v>
      </c>
      <c r="C25">
        <v>-6.2603</v>
      </c>
      <c r="D25">
        <v>7.926307692</v>
      </c>
      <c r="E25" t="s">
        <v>85</v>
      </c>
      <c r="F25" t="s">
        <v>87</v>
      </c>
      <c r="G25" t="s">
        <v>136</v>
      </c>
      <c r="H25" s="3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19966</v>
      </c>
      <c r="Q25">
        <v>0</v>
      </c>
      <c r="R25">
        <v>20000</v>
      </c>
      <c r="S25">
        <v>0</v>
      </c>
    </row>
    <row r="26" spans="1:21" x14ac:dyDescent="0.2">
      <c r="A26" t="s">
        <v>56</v>
      </c>
      <c r="B26">
        <v>60.169899999999998</v>
      </c>
      <c r="C26">
        <v>24.938400000000001</v>
      </c>
      <c r="D26">
        <v>4.841307692</v>
      </c>
      <c r="E26" t="s">
        <v>85</v>
      </c>
      <c r="F26" t="s">
        <v>88</v>
      </c>
      <c r="G26" t="s">
        <v>134</v>
      </c>
      <c r="H26" s="3">
        <v>0</v>
      </c>
      <c r="I26">
        <v>0</v>
      </c>
      <c r="J26">
        <v>60000</v>
      </c>
      <c r="K26">
        <v>290478.46152000001</v>
      </c>
      <c r="L26">
        <v>0</v>
      </c>
      <c r="M26">
        <v>0</v>
      </c>
      <c r="N26">
        <v>60000</v>
      </c>
      <c r="O26">
        <v>0</v>
      </c>
      <c r="P26">
        <v>60000</v>
      </c>
      <c r="Q26">
        <v>0</v>
      </c>
      <c r="R26">
        <v>60000</v>
      </c>
      <c r="S26">
        <v>0</v>
      </c>
    </row>
    <row r="27" spans="1:21" x14ac:dyDescent="0.2">
      <c r="A27" t="s">
        <v>57</v>
      </c>
      <c r="B27">
        <v>52.229700000000001</v>
      </c>
      <c r="C27">
        <v>21.0122</v>
      </c>
      <c r="D27">
        <v>4.3022692310000004</v>
      </c>
      <c r="E27" t="s">
        <v>85</v>
      </c>
      <c r="F27" t="s">
        <v>89</v>
      </c>
      <c r="G27" t="s">
        <v>109</v>
      </c>
      <c r="H27" s="3">
        <v>0</v>
      </c>
      <c r="I27">
        <v>0</v>
      </c>
      <c r="J27">
        <v>45000</v>
      </c>
      <c r="K27">
        <v>193602.11539500003</v>
      </c>
      <c r="L27">
        <v>0</v>
      </c>
      <c r="M27">
        <v>0</v>
      </c>
      <c r="N27">
        <v>45000</v>
      </c>
      <c r="O27">
        <v>0</v>
      </c>
      <c r="P27">
        <v>45000</v>
      </c>
      <c r="Q27">
        <v>0</v>
      </c>
      <c r="R27">
        <v>45000</v>
      </c>
      <c r="S27">
        <v>0</v>
      </c>
    </row>
    <row r="30" spans="1:21" x14ac:dyDescent="0.2">
      <c r="A30" s="32" t="s">
        <v>137</v>
      </c>
      <c r="B30" s="32" t="s">
        <v>138</v>
      </c>
      <c r="C30" s="32" t="s">
        <v>139</v>
      </c>
      <c r="D30" s="32" t="s">
        <v>140</v>
      </c>
      <c r="E30" s="32" t="s">
        <v>141</v>
      </c>
      <c r="F30" s="32" t="s">
        <v>96</v>
      </c>
      <c r="G30" s="32" t="s">
        <v>97</v>
      </c>
      <c r="H30" s="32" t="s">
        <v>98</v>
      </c>
      <c r="I30" s="32" t="s">
        <v>99</v>
      </c>
      <c r="J30" s="32" t="s">
        <v>170</v>
      </c>
      <c r="K30" s="32" t="s">
        <v>171</v>
      </c>
      <c r="L30" s="32" t="s">
        <v>172</v>
      </c>
      <c r="M30" s="32" t="s">
        <v>173</v>
      </c>
      <c r="N30" s="32" t="s">
        <v>174</v>
      </c>
      <c r="O30" s="32" t="s">
        <v>175</v>
      </c>
      <c r="P30" s="32" t="s">
        <v>180</v>
      </c>
      <c r="Q30" s="32" t="s">
        <v>181</v>
      </c>
      <c r="R30" s="32" t="s">
        <v>182</v>
      </c>
      <c r="S30" s="32" t="s">
        <v>183</v>
      </c>
      <c r="T30" s="32" t="s">
        <v>184</v>
      </c>
      <c r="U30" s="32" t="s">
        <v>185</v>
      </c>
    </row>
    <row r="31" spans="1:21" x14ac:dyDescent="0.2">
      <c r="A31" t="s">
        <v>12</v>
      </c>
      <c r="B31" t="s">
        <v>8</v>
      </c>
      <c r="C31" s="3">
        <v>9000.7708299999995</v>
      </c>
      <c r="D31" s="31">
        <v>1E+30</v>
      </c>
      <c r="E31" s="30">
        <v>1E+30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12</v>
      </c>
      <c r="B32" t="s">
        <v>9</v>
      </c>
      <c r="C32" s="3">
        <v>8561.6520600000003</v>
      </c>
      <c r="D32" s="3">
        <v>21120.81</v>
      </c>
      <c r="E32" s="30">
        <v>1E+30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34500</v>
      </c>
    </row>
    <row r="33" spans="1:21" x14ac:dyDescent="0.2">
      <c r="A33" t="s">
        <v>12</v>
      </c>
      <c r="B33" t="s">
        <v>10</v>
      </c>
      <c r="C33" s="3">
        <v>9815.4661699999997</v>
      </c>
      <c r="D33" s="31">
        <v>1E+30</v>
      </c>
      <c r="E33" s="30">
        <v>1E+30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14</v>
      </c>
      <c r="B34" t="s">
        <v>8</v>
      </c>
      <c r="C34" s="3">
        <v>8471.3719099999998</v>
      </c>
      <c r="D34" s="30">
        <v>1E+30</v>
      </c>
      <c r="E34" s="30">
        <v>1E+30</v>
      </c>
      <c r="F34">
        <v>100000</v>
      </c>
      <c r="G34">
        <v>0</v>
      </c>
      <c r="H34">
        <v>1000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14</v>
      </c>
      <c r="B35" t="s">
        <v>9</v>
      </c>
      <c r="C35" s="3">
        <v>7996.1371200000003</v>
      </c>
      <c r="D35">
        <v>21791.15</v>
      </c>
      <c r="E35" s="30">
        <v>1E+30</v>
      </c>
      <c r="F35">
        <v>134500</v>
      </c>
      <c r="G35">
        <v>0</v>
      </c>
      <c r="H35">
        <v>78500</v>
      </c>
      <c r="I35">
        <v>0</v>
      </c>
      <c r="J35">
        <v>234500</v>
      </c>
      <c r="K35">
        <v>0</v>
      </c>
      <c r="L35">
        <v>0</v>
      </c>
      <c r="M35">
        <v>79500</v>
      </c>
      <c r="N35">
        <v>0</v>
      </c>
      <c r="O35">
        <v>0</v>
      </c>
      <c r="P35">
        <v>34534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14</v>
      </c>
      <c r="B36" t="s">
        <v>10</v>
      </c>
      <c r="C36" s="3">
        <v>9243.1630600000008</v>
      </c>
      <c r="D36" s="30">
        <v>1E+30</v>
      </c>
      <c r="E36" s="30">
        <v>1E+30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8</v>
      </c>
      <c r="B37" t="s">
        <v>19</v>
      </c>
      <c r="C37" s="3">
        <v>220.49319199999999</v>
      </c>
      <c r="D37" s="30">
        <v>1E+30</v>
      </c>
      <c r="E37">
        <v>283.57459999999998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8</v>
      </c>
      <c r="B38" t="s">
        <v>20</v>
      </c>
      <c r="C38" s="3">
        <v>1019.75143</v>
      </c>
      <c r="D38" s="30">
        <v>1E+30</v>
      </c>
      <c r="E38">
        <v>1286.4165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8</v>
      </c>
      <c r="B39" t="s">
        <v>21</v>
      </c>
      <c r="C39" s="3">
        <v>1099.06143</v>
      </c>
      <c r="D39" s="30">
        <v>1E+30</v>
      </c>
      <c r="E39">
        <v>1362.1052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8</v>
      </c>
      <c r="B40" t="s">
        <v>22</v>
      </c>
      <c r="C40" s="3">
        <v>1263.02225</v>
      </c>
      <c r="D40" s="30">
        <v>1E+30</v>
      </c>
      <c r="E40">
        <v>1682.0897</v>
      </c>
      <c r="F40">
        <v>100000</v>
      </c>
      <c r="G40">
        <v>0</v>
      </c>
      <c r="H40">
        <v>1000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9</v>
      </c>
      <c r="B41" t="s">
        <v>19</v>
      </c>
      <c r="C41" s="3">
        <v>519.32400700000005</v>
      </c>
      <c r="D41" s="30">
        <v>1E+30</v>
      </c>
      <c r="E41">
        <v>655.22719999999902</v>
      </c>
      <c r="F41">
        <v>45000</v>
      </c>
      <c r="G41">
        <v>0</v>
      </c>
      <c r="H41">
        <v>16500</v>
      </c>
      <c r="I41">
        <v>0</v>
      </c>
      <c r="J41">
        <v>0</v>
      </c>
      <c r="K41">
        <v>45000</v>
      </c>
      <c r="L41">
        <v>0</v>
      </c>
      <c r="M41">
        <v>0</v>
      </c>
      <c r="N41">
        <v>24000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9</v>
      </c>
      <c r="B42" t="s">
        <v>20</v>
      </c>
      <c r="C42" s="3">
        <v>1155.2343100000001</v>
      </c>
      <c r="D42" s="30">
        <v>1E+30</v>
      </c>
      <c r="E42">
        <v>1426.5703000000001</v>
      </c>
      <c r="F42">
        <v>62000</v>
      </c>
      <c r="G42">
        <v>0</v>
      </c>
      <c r="H42">
        <v>62000</v>
      </c>
      <c r="I42">
        <v>0</v>
      </c>
      <c r="J42">
        <v>0</v>
      </c>
      <c r="K42">
        <v>62000</v>
      </c>
      <c r="L42">
        <v>0</v>
      </c>
      <c r="M42">
        <v>0</v>
      </c>
      <c r="N42">
        <v>55500</v>
      </c>
      <c r="O42">
        <v>0</v>
      </c>
      <c r="P42">
        <v>0</v>
      </c>
      <c r="Q42">
        <v>34534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9</v>
      </c>
      <c r="B43" t="s">
        <v>21</v>
      </c>
      <c r="C43" s="3">
        <v>440.47644400000001</v>
      </c>
      <c r="D43">
        <v>626.22</v>
      </c>
      <c r="E43">
        <v>540.0489</v>
      </c>
      <c r="F43">
        <v>27500</v>
      </c>
      <c r="G43">
        <v>0</v>
      </c>
      <c r="H43">
        <v>0</v>
      </c>
      <c r="I43">
        <v>0</v>
      </c>
      <c r="J43">
        <v>0</v>
      </c>
      <c r="K43">
        <v>27500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15000</v>
      </c>
    </row>
    <row r="44" spans="1:21" x14ac:dyDescent="0.2">
      <c r="A44" t="s">
        <v>9</v>
      </c>
      <c r="B44" t="s">
        <v>22</v>
      </c>
      <c r="C44" s="3">
        <v>1856.5320200000001</v>
      </c>
      <c r="D44">
        <v>6939.35</v>
      </c>
      <c r="E44">
        <v>2539.2773999999999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100000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19500</v>
      </c>
    </row>
    <row r="45" spans="1:21" x14ac:dyDescent="0.2">
      <c r="A45" t="s">
        <v>10</v>
      </c>
      <c r="B45" t="s">
        <v>19</v>
      </c>
      <c r="C45" s="3">
        <v>962.97049100000004</v>
      </c>
      <c r="D45" s="30">
        <v>1E+30</v>
      </c>
      <c r="E45">
        <v>1152.3353999999999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3">
        <v>0</v>
      </c>
      <c r="P45" s="3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10</v>
      </c>
      <c r="B46" t="s">
        <v>20</v>
      </c>
      <c r="C46" s="3">
        <v>149.866636</v>
      </c>
      <c r="D46" s="30">
        <v>1E+30</v>
      </c>
      <c r="E46">
        <v>157.0652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3">
        <v>0</v>
      </c>
      <c r="P46" s="3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10</v>
      </c>
      <c r="B47" t="s">
        <v>21</v>
      </c>
      <c r="C47" s="3">
        <v>1675.98143</v>
      </c>
      <c r="D47" s="30">
        <v>1E+30</v>
      </c>
      <c r="E47">
        <v>2094.0954999999999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3">
        <v>0</v>
      </c>
      <c r="P47" s="3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10</v>
      </c>
      <c r="B48" t="s">
        <v>22</v>
      </c>
      <c r="C48" s="3">
        <v>2091.80017</v>
      </c>
      <c r="D48" s="30">
        <v>1E+30</v>
      </c>
      <c r="E48">
        <v>2889.6354999999999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3">
        <v>0</v>
      </c>
      <c r="P48" s="3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19</v>
      </c>
      <c r="B49" t="s">
        <v>25</v>
      </c>
      <c r="C49" s="3">
        <v>1280.7990199999999</v>
      </c>
      <c r="D49" s="30">
        <v>1E+30</v>
      </c>
      <c r="E49">
        <v>1490.4829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3">
        <v>0</v>
      </c>
      <c r="P49" s="3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19</v>
      </c>
      <c r="B50" t="s">
        <v>26</v>
      </c>
      <c r="C50" s="3">
        <v>1831.83339</v>
      </c>
      <c r="D50" s="30">
        <v>1E+30</v>
      </c>
      <c r="E50">
        <v>2651.3577999999902</v>
      </c>
      <c r="F50">
        <v>6000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3">
        <v>0</v>
      </c>
      <c r="P50" s="3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19</v>
      </c>
      <c r="B51" t="s">
        <v>27</v>
      </c>
      <c r="C51" s="3">
        <v>1480.01845</v>
      </c>
      <c r="D51" s="30">
        <v>1E+30</v>
      </c>
      <c r="E51">
        <v>1926.7511</v>
      </c>
      <c r="F51">
        <v>14500</v>
      </c>
      <c r="G51">
        <v>0</v>
      </c>
      <c r="H51">
        <v>0</v>
      </c>
      <c r="I51">
        <v>0</v>
      </c>
      <c r="J51">
        <v>0</v>
      </c>
      <c r="K51">
        <v>20500</v>
      </c>
      <c r="L51">
        <v>0</v>
      </c>
      <c r="M51">
        <v>0</v>
      </c>
      <c r="N51">
        <v>7500</v>
      </c>
      <c r="O51" s="3">
        <v>0</v>
      </c>
      <c r="P51" s="3">
        <v>0</v>
      </c>
      <c r="Q51">
        <v>8500</v>
      </c>
      <c r="R51">
        <v>0</v>
      </c>
      <c r="S51">
        <v>0</v>
      </c>
      <c r="T51">
        <v>20500</v>
      </c>
      <c r="U51">
        <v>0</v>
      </c>
    </row>
    <row r="52" spans="1:21" x14ac:dyDescent="0.2">
      <c r="A52" t="s">
        <v>19</v>
      </c>
      <c r="B52" t="s">
        <v>28</v>
      </c>
      <c r="C52" s="3">
        <v>1291.8657499999999</v>
      </c>
      <c r="D52" s="30">
        <v>1E+30</v>
      </c>
      <c r="E52">
        <v>1629.3367000000001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3">
        <v>0</v>
      </c>
      <c r="P52" s="3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t="s">
        <v>19</v>
      </c>
      <c r="B53" t="s">
        <v>29</v>
      </c>
      <c r="C53" s="3">
        <v>361.84678400000001</v>
      </c>
      <c r="D53" s="30">
        <v>1E+30</v>
      </c>
      <c r="E53">
        <v>499.1123</v>
      </c>
      <c r="F53">
        <v>16500</v>
      </c>
      <c r="G53">
        <v>0</v>
      </c>
      <c r="H53">
        <v>16500</v>
      </c>
      <c r="I53">
        <v>0</v>
      </c>
      <c r="J53">
        <v>0</v>
      </c>
      <c r="K53">
        <v>16500</v>
      </c>
      <c r="L53">
        <v>0</v>
      </c>
      <c r="M53">
        <v>0</v>
      </c>
      <c r="N53">
        <v>16500</v>
      </c>
      <c r="O53" s="3">
        <v>0</v>
      </c>
      <c r="P53" s="3">
        <v>0</v>
      </c>
      <c r="Q53">
        <v>16500</v>
      </c>
      <c r="R53">
        <v>0</v>
      </c>
      <c r="S53">
        <v>0</v>
      </c>
      <c r="T53">
        <v>16500</v>
      </c>
      <c r="U53">
        <v>0</v>
      </c>
    </row>
    <row r="54" spans="1:21" x14ac:dyDescent="0.2">
      <c r="A54" t="s">
        <v>19</v>
      </c>
      <c r="B54" t="s">
        <v>30</v>
      </c>
      <c r="C54" s="3">
        <v>1185.02241</v>
      </c>
      <c r="D54" s="30">
        <v>1E+30</v>
      </c>
      <c r="E54">
        <v>1476.8573999999901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3">
        <v>0</v>
      </c>
      <c r="P54" s="3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19</v>
      </c>
      <c r="B55" t="s">
        <v>31</v>
      </c>
      <c r="C55" s="3">
        <v>934.02313500000002</v>
      </c>
      <c r="D55" s="30">
        <v>1E+30</v>
      </c>
      <c r="E55">
        <v>1126.5368000000001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3">
        <v>0</v>
      </c>
      <c r="P55" s="3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19</v>
      </c>
      <c r="B56" t="s">
        <v>32</v>
      </c>
      <c r="C56" s="3">
        <v>557.31895899999995</v>
      </c>
      <c r="D56" s="30">
        <v>1E+30</v>
      </c>
      <c r="E56">
        <v>757.14750000000004</v>
      </c>
      <c r="F56">
        <v>8000</v>
      </c>
      <c r="G56">
        <v>0</v>
      </c>
      <c r="H56">
        <v>0</v>
      </c>
      <c r="I56">
        <v>0</v>
      </c>
      <c r="J56">
        <v>0</v>
      </c>
      <c r="K56">
        <v>8000</v>
      </c>
      <c r="L56">
        <v>0</v>
      </c>
      <c r="M56">
        <v>0</v>
      </c>
      <c r="N56">
        <v>0</v>
      </c>
      <c r="O56" s="3">
        <v>0</v>
      </c>
      <c r="P56" s="3">
        <v>0</v>
      </c>
      <c r="Q56">
        <v>0</v>
      </c>
      <c r="R56">
        <v>0</v>
      </c>
      <c r="S56">
        <v>0</v>
      </c>
      <c r="T56">
        <v>4500</v>
      </c>
      <c r="U56">
        <v>0</v>
      </c>
    </row>
    <row r="57" spans="1:21" x14ac:dyDescent="0.2">
      <c r="A57" t="s">
        <v>19</v>
      </c>
      <c r="B57" t="s">
        <v>33</v>
      </c>
      <c r="C57" s="3">
        <v>769.99873300000002</v>
      </c>
      <c r="D57" s="30">
        <v>1E+30</v>
      </c>
      <c r="E57">
        <v>957.81029999999998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3">
        <v>0</v>
      </c>
      <c r="P57" s="3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19</v>
      </c>
      <c r="B58" t="s">
        <v>34</v>
      </c>
      <c r="C58" s="3">
        <v>2148.6587500000001</v>
      </c>
      <c r="D58" s="30">
        <v>1E+30</v>
      </c>
      <c r="E58">
        <v>2655.6288999999902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3">
        <v>0</v>
      </c>
      <c r="P58" s="3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19</v>
      </c>
      <c r="B59" t="s">
        <v>35</v>
      </c>
      <c r="C59" s="3">
        <v>2316.5231899999999</v>
      </c>
      <c r="D59" s="30">
        <v>1E+30</v>
      </c>
      <c r="E59">
        <v>2815.5151999999998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3">
        <v>0</v>
      </c>
      <c r="P59" s="3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19</v>
      </c>
      <c r="B60" t="s">
        <v>36</v>
      </c>
      <c r="C60" s="3">
        <v>1590.5757900000001</v>
      </c>
      <c r="D60" s="30">
        <v>1E+30</v>
      </c>
      <c r="E60">
        <v>3241.7808999999902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3">
        <v>0</v>
      </c>
      <c r="P60" s="3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20</v>
      </c>
      <c r="B61" t="s">
        <v>25</v>
      </c>
      <c r="C61" s="3">
        <v>416.56545699999998</v>
      </c>
      <c r="D61" s="30">
        <v>1E+30</v>
      </c>
      <c r="E61">
        <v>522.65139999999997</v>
      </c>
      <c r="F61">
        <v>7000</v>
      </c>
      <c r="G61">
        <v>0</v>
      </c>
      <c r="H61">
        <v>7000</v>
      </c>
      <c r="I61">
        <v>0</v>
      </c>
      <c r="J61">
        <v>0</v>
      </c>
      <c r="K61">
        <v>7000</v>
      </c>
      <c r="L61">
        <v>0</v>
      </c>
      <c r="M61">
        <v>0</v>
      </c>
      <c r="N61">
        <v>7000</v>
      </c>
      <c r="O61" s="3">
        <v>0</v>
      </c>
      <c r="P61" s="3">
        <v>0</v>
      </c>
      <c r="Q61">
        <v>7000</v>
      </c>
      <c r="R61">
        <v>0</v>
      </c>
      <c r="S61">
        <v>0</v>
      </c>
      <c r="T61">
        <v>7000</v>
      </c>
      <c r="U61">
        <v>0</v>
      </c>
    </row>
    <row r="62" spans="1:21" x14ac:dyDescent="0.2">
      <c r="A62" t="s">
        <v>20</v>
      </c>
      <c r="B62" t="s">
        <v>26</v>
      </c>
      <c r="C62" s="3">
        <v>2530.90245</v>
      </c>
      <c r="D62" s="30">
        <v>1E+30</v>
      </c>
      <c r="E62">
        <v>3650.8874000000001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3">
        <v>0</v>
      </c>
      <c r="P62" s="3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20</v>
      </c>
      <c r="B63" t="s">
        <v>27</v>
      </c>
      <c r="C63" s="3">
        <v>2141.5278499999999</v>
      </c>
      <c r="D63" s="30">
        <v>1E+30</v>
      </c>
      <c r="E63">
        <v>2926.2808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3">
        <v>0</v>
      </c>
      <c r="P63" s="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20</v>
      </c>
      <c r="B64" t="s">
        <v>28</v>
      </c>
      <c r="C64" s="3">
        <v>564.91897100000006</v>
      </c>
      <c r="D64" s="30">
        <v>1E+30</v>
      </c>
      <c r="E64">
        <v>661.50519999999995</v>
      </c>
      <c r="F64">
        <v>3000</v>
      </c>
      <c r="G64">
        <v>0</v>
      </c>
      <c r="H64">
        <v>3000</v>
      </c>
      <c r="I64">
        <v>0</v>
      </c>
      <c r="J64">
        <v>0</v>
      </c>
      <c r="K64">
        <v>3000</v>
      </c>
      <c r="L64">
        <v>0</v>
      </c>
      <c r="M64">
        <v>0</v>
      </c>
      <c r="N64">
        <v>3000</v>
      </c>
      <c r="O64" s="3">
        <v>0</v>
      </c>
      <c r="P64" s="3">
        <v>0</v>
      </c>
      <c r="Q64">
        <v>2000</v>
      </c>
      <c r="R64">
        <v>0</v>
      </c>
      <c r="S64">
        <v>0</v>
      </c>
      <c r="T64">
        <v>3000</v>
      </c>
      <c r="U64">
        <v>0</v>
      </c>
    </row>
    <row r="65" spans="1:21" x14ac:dyDescent="0.2">
      <c r="A65" t="s">
        <v>20</v>
      </c>
      <c r="B65" t="s">
        <v>29</v>
      </c>
      <c r="C65" s="3">
        <v>675.90874699999995</v>
      </c>
      <c r="D65" s="30">
        <v>1E+30</v>
      </c>
      <c r="E65">
        <v>862.62419999999997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3">
        <v>0</v>
      </c>
      <c r="P65" s="3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20</v>
      </c>
      <c r="B66" t="s">
        <v>30</v>
      </c>
      <c r="C66" s="3">
        <v>312.09291200000001</v>
      </c>
      <c r="D66" s="30">
        <v>1E+30</v>
      </c>
      <c r="E66">
        <v>376.52109999999999</v>
      </c>
      <c r="F66">
        <v>6500</v>
      </c>
      <c r="G66">
        <v>0</v>
      </c>
      <c r="H66">
        <v>6500</v>
      </c>
      <c r="I66">
        <v>0</v>
      </c>
      <c r="J66">
        <v>0</v>
      </c>
      <c r="K66">
        <v>6500</v>
      </c>
      <c r="L66">
        <v>0</v>
      </c>
      <c r="M66">
        <v>0</v>
      </c>
      <c r="N66">
        <v>0</v>
      </c>
      <c r="O66" s="3">
        <v>0</v>
      </c>
      <c r="P66" s="3">
        <v>0</v>
      </c>
      <c r="Q66">
        <v>0</v>
      </c>
      <c r="R66">
        <v>0</v>
      </c>
      <c r="S66">
        <v>0</v>
      </c>
      <c r="T66">
        <v>6500</v>
      </c>
      <c r="U66">
        <v>0</v>
      </c>
    </row>
    <row r="67" spans="1:21" x14ac:dyDescent="0.2">
      <c r="A67" t="s">
        <v>20</v>
      </c>
      <c r="B67" t="s">
        <v>31</v>
      </c>
      <c r="C67" s="3">
        <v>172.38078300000001</v>
      </c>
      <c r="D67" s="30">
        <v>1E+30</v>
      </c>
      <c r="E67">
        <v>198.95500000000001</v>
      </c>
      <c r="F67">
        <v>500</v>
      </c>
      <c r="G67">
        <v>0</v>
      </c>
      <c r="H67">
        <v>500</v>
      </c>
      <c r="I67">
        <v>0</v>
      </c>
      <c r="J67">
        <v>0</v>
      </c>
      <c r="K67">
        <v>500</v>
      </c>
      <c r="L67">
        <v>0</v>
      </c>
      <c r="M67">
        <v>0</v>
      </c>
      <c r="N67">
        <v>500</v>
      </c>
      <c r="O67" s="3">
        <v>0</v>
      </c>
      <c r="P67" s="3">
        <v>0</v>
      </c>
      <c r="Q67">
        <v>500</v>
      </c>
      <c r="R67">
        <v>0</v>
      </c>
      <c r="S67">
        <v>0</v>
      </c>
      <c r="T67">
        <v>500</v>
      </c>
      <c r="U67">
        <v>0</v>
      </c>
    </row>
    <row r="68" spans="1:21" x14ac:dyDescent="0.2">
      <c r="A68" t="s">
        <v>20</v>
      </c>
      <c r="B68" t="s">
        <v>32</v>
      </c>
      <c r="C68" s="3">
        <v>622.62840600000004</v>
      </c>
      <c r="D68" s="30">
        <v>1E+30</v>
      </c>
      <c r="E68">
        <v>737.48379999999997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3">
        <v>0</v>
      </c>
      <c r="P68" s="3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t="s">
        <v>20</v>
      </c>
      <c r="B69" t="s">
        <v>33</v>
      </c>
      <c r="C69" s="3">
        <v>1497.87247</v>
      </c>
      <c r="D69" s="30">
        <v>1E+30</v>
      </c>
      <c r="E69">
        <v>1843.174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3">
        <v>0</v>
      </c>
      <c r="P69" s="3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20</v>
      </c>
      <c r="B70" t="s">
        <v>34</v>
      </c>
      <c r="C70" s="3">
        <v>1388.1726100000001</v>
      </c>
      <c r="D70" s="30">
        <v>1E+30</v>
      </c>
      <c r="E70">
        <v>1741.4002</v>
      </c>
      <c r="F70">
        <v>1000</v>
      </c>
      <c r="G70">
        <v>0</v>
      </c>
      <c r="H70">
        <v>1000</v>
      </c>
      <c r="I70">
        <v>0</v>
      </c>
      <c r="J70">
        <v>0</v>
      </c>
      <c r="K70">
        <v>1000</v>
      </c>
      <c r="L70">
        <v>0</v>
      </c>
      <c r="M70">
        <v>0</v>
      </c>
      <c r="N70">
        <v>1000</v>
      </c>
      <c r="O70" s="3">
        <v>0</v>
      </c>
      <c r="P70" s="3">
        <v>0</v>
      </c>
      <c r="Q70">
        <v>1000</v>
      </c>
      <c r="R70">
        <v>0</v>
      </c>
      <c r="S70">
        <v>0</v>
      </c>
      <c r="T70">
        <v>1000</v>
      </c>
      <c r="U70">
        <v>0</v>
      </c>
    </row>
    <row r="71" spans="1:21" x14ac:dyDescent="0.2">
      <c r="A71" t="s">
        <v>20</v>
      </c>
      <c r="B71" t="s">
        <v>35</v>
      </c>
      <c r="C71" s="3">
        <v>1586.1347900000001</v>
      </c>
      <c r="D71" s="30">
        <v>1E+30</v>
      </c>
      <c r="E71">
        <v>1901.2865999999999</v>
      </c>
      <c r="F71">
        <v>44000</v>
      </c>
      <c r="G71">
        <v>0</v>
      </c>
      <c r="H71">
        <v>44000</v>
      </c>
      <c r="I71">
        <v>0</v>
      </c>
      <c r="J71">
        <v>0</v>
      </c>
      <c r="K71">
        <v>44000</v>
      </c>
      <c r="L71">
        <v>0</v>
      </c>
      <c r="M71">
        <v>0</v>
      </c>
      <c r="N71">
        <v>44000</v>
      </c>
      <c r="O71" s="3">
        <v>0</v>
      </c>
      <c r="P71" s="3">
        <v>0</v>
      </c>
      <c r="Q71">
        <v>44000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20</v>
      </c>
      <c r="B72" t="s">
        <v>36</v>
      </c>
      <c r="C72" s="3">
        <v>1984.94219</v>
      </c>
      <c r="D72" s="30">
        <v>1E+30</v>
      </c>
      <c r="E72">
        <v>3197.3615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3">
        <v>0</v>
      </c>
      <c r="P72" s="3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21</v>
      </c>
      <c r="B73" t="s">
        <v>25</v>
      </c>
      <c r="C73" s="3">
        <v>1980.3791900000001</v>
      </c>
      <c r="D73" s="30">
        <v>1E+30</v>
      </c>
      <c r="E73">
        <v>2425.3516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3">
        <v>0</v>
      </c>
      <c r="P73" s="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21</v>
      </c>
      <c r="B74" t="s">
        <v>26</v>
      </c>
      <c r="C74" s="3">
        <v>2361.1644700000002</v>
      </c>
      <c r="D74">
        <v>7382.62</v>
      </c>
      <c r="E74">
        <v>3725.5347999999999</v>
      </c>
      <c r="F74">
        <v>0</v>
      </c>
      <c r="G74">
        <v>0</v>
      </c>
      <c r="H74">
        <v>6000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3">
        <v>0</v>
      </c>
      <c r="P74" s="3">
        <v>0</v>
      </c>
      <c r="Q74">
        <v>6000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21</v>
      </c>
      <c r="B75" t="s">
        <v>27</v>
      </c>
      <c r="C75" s="3">
        <v>2103.7152599999999</v>
      </c>
      <c r="D75">
        <v>7252.73</v>
      </c>
      <c r="E75">
        <v>3000.9281999999998</v>
      </c>
      <c r="F75">
        <v>0</v>
      </c>
      <c r="G75">
        <v>0</v>
      </c>
      <c r="H75">
        <v>18500</v>
      </c>
      <c r="I75">
        <v>0</v>
      </c>
      <c r="J75">
        <v>0</v>
      </c>
      <c r="K75">
        <v>0</v>
      </c>
      <c r="L75">
        <v>0</v>
      </c>
      <c r="M75">
        <v>0</v>
      </c>
      <c r="N75">
        <v>18000</v>
      </c>
      <c r="O75" s="3">
        <v>0</v>
      </c>
      <c r="P75" s="3">
        <v>0</v>
      </c>
      <c r="Q75">
        <v>11000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21</v>
      </c>
      <c r="B76" t="s">
        <v>28</v>
      </c>
      <c r="C76" s="3">
        <v>2081.5314899999998</v>
      </c>
      <c r="D76" s="30">
        <v>1E+30</v>
      </c>
      <c r="E76">
        <v>2564.2053999999998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3">
        <v>0</v>
      </c>
      <c r="P76" s="3">
        <v>0</v>
      </c>
      <c r="Q76">
        <v>1000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21</v>
      </c>
      <c r="B77" t="s">
        <v>29</v>
      </c>
      <c r="C77" s="3">
        <v>1273.04423</v>
      </c>
      <c r="D77" s="30">
        <v>1E+30</v>
      </c>
      <c r="E77">
        <v>1607.6742999999999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3">
        <v>0</v>
      </c>
      <c r="P77" s="3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21</v>
      </c>
      <c r="B78" t="s">
        <v>30</v>
      </c>
      <c r="C78" s="3">
        <v>1702.8825099999999</v>
      </c>
      <c r="D78" s="30">
        <v>1E+30</v>
      </c>
      <c r="E78">
        <v>2224.5360000000001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6500</v>
      </c>
      <c r="O78" s="3">
        <v>0</v>
      </c>
      <c r="P78" s="3">
        <v>0</v>
      </c>
      <c r="Q78">
        <v>6500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21</v>
      </c>
      <c r="B79" t="s">
        <v>31</v>
      </c>
      <c r="C79" s="3">
        <v>1665.1453899999999</v>
      </c>
      <c r="D79" s="30">
        <v>1E+30</v>
      </c>
      <c r="E79">
        <v>2112.6426000000001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3">
        <v>0</v>
      </c>
      <c r="P79" s="3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21</v>
      </c>
      <c r="B80" t="s">
        <v>32</v>
      </c>
      <c r="C80" s="3">
        <v>943.28114500000004</v>
      </c>
      <c r="D80">
        <v>1803.76</v>
      </c>
      <c r="E80">
        <v>1340.1551999999999</v>
      </c>
      <c r="F80">
        <v>14000</v>
      </c>
      <c r="G80">
        <v>0</v>
      </c>
      <c r="H80">
        <v>22000</v>
      </c>
      <c r="I80">
        <v>0</v>
      </c>
      <c r="J80">
        <v>0</v>
      </c>
      <c r="K80">
        <v>14000</v>
      </c>
      <c r="L80">
        <v>0</v>
      </c>
      <c r="M80">
        <v>0</v>
      </c>
      <c r="N80">
        <v>22000</v>
      </c>
      <c r="O80" s="3">
        <v>0</v>
      </c>
      <c r="P80" s="3">
        <v>0</v>
      </c>
      <c r="Q80">
        <v>22000</v>
      </c>
      <c r="R80">
        <v>0</v>
      </c>
      <c r="S80">
        <v>0</v>
      </c>
      <c r="T80">
        <v>0</v>
      </c>
      <c r="U80">
        <v>17500</v>
      </c>
    </row>
    <row r="81" spans="1:21" x14ac:dyDescent="0.2">
      <c r="A81" t="s">
        <v>21</v>
      </c>
      <c r="B81" t="s">
        <v>33</v>
      </c>
      <c r="C81" s="3">
        <v>222.38847799999999</v>
      </c>
      <c r="D81" s="30">
        <v>1E+30</v>
      </c>
      <c r="E81">
        <v>259.6909</v>
      </c>
      <c r="F81">
        <v>13000</v>
      </c>
      <c r="G81">
        <v>0</v>
      </c>
      <c r="H81">
        <v>13000</v>
      </c>
      <c r="I81">
        <v>0</v>
      </c>
      <c r="J81">
        <v>0</v>
      </c>
      <c r="K81">
        <v>13000</v>
      </c>
      <c r="L81">
        <v>0</v>
      </c>
      <c r="M81">
        <v>0</v>
      </c>
      <c r="N81">
        <v>13000</v>
      </c>
      <c r="O81" s="3">
        <v>0</v>
      </c>
      <c r="P81" s="3">
        <v>0</v>
      </c>
      <c r="Q81">
        <v>13000</v>
      </c>
      <c r="R81">
        <v>0</v>
      </c>
      <c r="S81">
        <v>0</v>
      </c>
      <c r="T81">
        <v>13000</v>
      </c>
      <c r="U81">
        <v>0</v>
      </c>
    </row>
    <row r="82" spans="1:21" x14ac:dyDescent="0.2">
      <c r="A82" t="s">
        <v>21</v>
      </c>
      <c r="B82" t="s">
        <v>34</v>
      </c>
      <c r="C82" s="3">
        <v>2940.4324900000001</v>
      </c>
      <c r="D82" s="30">
        <v>1E+30</v>
      </c>
      <c r="E82">
        <v>3644.1003999999998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3">
        <v>0</v>
      </c>
      <c r="P82" s="3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21</v>
      </c>
      <c r="B83" t="s">
        <v>35</v>
      </c>
      <c r="C83" s="3">
        <v>3129.52936</v>
      </c>
      <c r="D83">
        <v>3951.36</v>
      </c>
      <c r="E83">
        <v>3803.9867999999901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3">
        <v>0</v>
      </c>
      <c r="P83" s="3">
        <v>0</v>
      </c>
      <c r="Q83">
        <v>0</v>
      </c>
      <c r="R83">
        <v>0</v>
      </c>
      <c r="S83">
        <v>0</v>
      </c>
      <c r="T83">
        <v>0</v>
      </c>
      <c r="U83">
        <v>44000</v>
      </c>
    </row>
    <row r="84" spans="1:21" x14ac:dyDescent="0.2">
      <c r="A84" t="s">
        <v>21</v>
      </c>
      <c r="B84" t="s">
        <v>36</v>
      </c>
      <c r="C84" s="3">
        <v>713.93908599999997</v>
      </c>
      <c r="D84" s="30">
        <v>1E+30</v>
      </c>
      <c r="E84">
        <v>809.4239</v>
      </c>
      <c r="F84">
        <v>500</v>
      </c>
      <c r="G84">
        <v>0</v>
      </c>
      <c r="H84">
        <v>500</v>
      </c>
      <c r="I84">
        <v>0</v>
      </c>
      <c r="J84">
        <v>0</v>
      </c>
      <c r="K84">
        <v>500</v>
      </c>
      <c r="L84">
        <v>0</v>
      </c>
      <c r="M84">
        <v>0</v>
      </c>
      <c r="N84">
        <v>500</v>
      </c>
      <c r="O84" s="3">
        <v>0</v>
      </c>
      <c r="P84" s="3">
        <v>0</v>
      </c>
      <c r="Q84">
        <v>500</v>
      </c>
      <c r="R84">
        <v>0</v>
      </c>
      <c r="S84">
        <v>0</v>
      </c>
      <c r="T84">
        <v>500</v>
      </c>
      <c r="U84">
        <v>0</v>
      </c>
    </row>
    <row r="85" spans="1:21" x14ac:dyDescent="0.2">
      <c r="A85" t="s">
        <v>22</v>
      </c>
      <c r="B85" t="s">
        <v>25</v>
      </c>
      <c r="C85" s="3">
        <v>2319.27882</v>
      </c>
      <c r="D85" s="30">
        <v>1E+30</v>
      </c>
      <c r="E85">
        <v>3220.6667000000002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3">
        <v>0</v>
      </c>
      <c r="P85" s="3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22</v>
      </c>
      <c r="B86" t="s">
        <v>26</v>
      </c>
      <c r="C86" s="3">
        <v>392.73576100000002</v>
      </c>
      <c r="D86">
        <v>430.2</v>
      </c>
      <c r="E86">
        <v>1847.1787999999999</v>
      </c>
      <c r="F86">
        <v>0</v>
      </c>
      <c r="G86">
        <v>0</v>
      </c>
      <c r="H86">
        <v>0</v>
      </c>
      <c r="I86">
        <v>0</v>
      </c>
      <c r="J86">
        <v>6000</v>
      </c>
      <c r="K86">
        <v>0</v>
      </c>
      <c r="L86">
        <v>0</v>
      </c>
      <c r="M86">
        <v>6000</v>
      </c>
      <c r="N86">
        <v>0</v>
      </c>
      <c r="O86" s="3">
        <v>0</v>
      </c>
      <c r="P86" s="3">
        <v>0</v>
      </c>
      <c r="Q86">
        <v>0</v>
      </c>
      <c r="R86">
        <v>0</v>
      </c>
      <c r="S86">
        <v>0</v>
      </c>
      <c r="T86">
        <v>0</v>
      </c>
      <c r="U86">
        <v>6000</v>
      </c>
    </row>
    <row r="87" spans="1:21" x14ac:dyDescent="0.2">
      <c r="A87" t="s">
        <v>22</v>
      </c>
      <c r="B87" t="s">
        <v>27</v>
      </c>
      <c r="C87" s="3">
        <v>9.1108617400000007</v>
      </c>
      <c r="D87" s="30">
        <v>1E+30</v>
      </c>
      <c r="E87">
        <v>11.972099999999999</v>
      </c>
      <c r="F87">
        <v>100000</v>
      </c>
      <c r="G87">
        <v>0</v>
      </c>
      <c r="H87">
        <v>96000</v>
      </c>
      <c r="I87">
        <v>0</v>
      </c>
      <c r="J87">
        <v>0</v>
      </c>
      <c r="K87">
        <v>94000</v>
      </c>
      <c r="L87">
        <v>0</v>
      </c>
      <c r="M87">
        <v>0</v>
      </c>
      <c r="N87">
        <v>89000</v>
      </c>
      <c r="O87" s="3">
        <v>0</v>
      </c>
      <c r="P87" s="3">
        <v>0</v>
      </c>
      <c r="Q87">
        <v>95000</v>
      </c>
      <c r="R87">
        <v>0</v>
      </c>
      <c r="S87">
        <v>0</v>
      </c>
      <c r="T87">
        <v>94000</v>
      </c>
      <c r="U87">
        <v>0</v>
      </c>
    </row>
    <row r="88" spans="1:21" x14ac:dyDescent="0.2">
      <c r="A88" t="s">
        <v>22</v>
      </c>
      <c r="B88" t="s">
        <v>28</v>
      </c>
      <c r="C88" s="3">
        <v>2163.5780500000001</v>
      </c>
      <c r="D88" s="30">
        <v>1E+30</v>
      </c>
      <c r="E88">
        <v>3046.5137999999902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3">
        <v>0</v>
      </c>
      <c r="P88" s="3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22</v>
      </c>
      <c r="B89" t="s">
        <v>29</v>
      </c>
      <c r="C89" s="3">
        <v>1496.75197</v>
      </c>
      <c r="D89" s="30">
        <v>1E+30</v>
      </c>
      <c r="E89">
        <v>2033.0400999999999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3">
        <v>0</v>
      </c>
      <c r="P89" s="3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t="s">
        <v>22</v>
      </c>
      <c r="B90" t="s">
        <v>30</v>
      </c>
      <c r="C90" s="3">
        <v>2453.0090399999999</v>
      </c>
      <c r="D90" s="30">
        <v>1E+30</v>
      </c>
      <c r="E90">
        <v>3216.3939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s="3">
        <v>0</v>
      </c>
      <c r="P90" s="3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22</v>
      </c>
      <c r="B91" t="s">
        <v>31</v>
      </c>
      <c r="C91" s="3">
        <v>2049.0579200000002</v>
      </c>
      <c r="D91" s="30">
        <v>1E+30</v>
      </c>
      <c r="E91">
        <v>2856.7206000000001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3">
        <v>0</v>
      </c>
      <c r="P91" s="3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t="s">
        <v>22</v>
      </c>
      <c r="B92" t="s">
        <v>32</v>
      </c>
      <c r="C92" s="3">
        <v>2023.5485900000001</v>
      </c>
      <c r="D92">
        <v>5892.31</v>
      </c>
      <c r="E92">
        <v>2623.7366000000002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3">
        <v>0</v>
      </c>
      <c r="P92" s="3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t="s">
        <v>22</v>
      </c>
      <c r="B93" t="s">
        <v>33</v>
      </c>
      <c r="C93" s="3">
        <v>1874.7082700000001</v>
      </c>
      <c r="D93" s="30">
        <v>1E+30</v>
      </c>
      <c r="E93">
        <v>2730.7902999999901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3">
        <v>0</v>
      </c>
      <c r="P93" s="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22</v>
      </c>
      <c r="B94" t="s">
        <v>34</v>
      </c>
      <c r="C94" s="3">
        <v>2775.6073999999999</v>
      </c>
      <c r="D94" s="30">
        <v>1E+30</v>
      </c>
      <c r="E94">
        <v>4048.4632000000001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s="3">
        <v>0</v>
      </c>
      <c r="P94" s="3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22</v>
      </c>
      <c r="B95" t="s">
        <v>35</v>
      </c>
      <c r="C95" s="3">
        <v>2849.5451200000002</v>
      </c>
      <c r="D95">
        <v>3425.34</v>
      </c>
      <c r="E95">
        <v>4208.3495999999996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3">
        <v>0</v>
      </c>
      <c r="P95" s="3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22</v>
      </c>
      <c r="B96" t="s">
        <v>36</v>
      </c>
      <c r="C96" s="3">
        <v>2806.9366500000001</v>
      </c>
      <c r="D96" s="30">
        <v>1E+30</v>
      </c>
      <c r="E96">
        <v>5108.3700999999901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3">
        <v>0</v>
      </c>
      <c r="P96" s="3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53</v>
      </c>
      <c r="B97" t="s">
        <v>19</v>
      </c>
      <c r="C97">
        <v>98.065420090407898</v>
      </c>
      <c r="D97" s="31">
        <v>1E+30</v>
      </c>
      <c r="E97">
        <v>120.673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3">
        <v>0</v>
      </c>
      <c r="P97" s="3">
        <v>0</v>
      </c>
      <c r="Q97">
        <v>25000</v>
      </c>
      <c r="R97">
        <v>0</v>
      </c>
      <c r="S97">
        <v>0</v>
      </c>
      <c r="T97">
        <v>25000</v>
      </c>
      <c r="U97">
        <v>0</v>
      </c>
    </row>
    <row r="98" spans="1:21" x14ac:dyDescent="0.2">
      <c r="A98" t="s">
        <v>53</v>
      </c>
      <c r="B98" t="s">
        <v>20</v>
      </c>
      <c r="C98">
        <v>819.022410170645</v>
      </c>
      <c r="D98" s="31">
        <v>1E+30</v>
      </c>
      <c r="E98">
        <v>1055.277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3">
        <v>0</v>
      </c>
      <c r="P98" s="3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53</v>
      </c>
      <c r="B99" t="s">
        <v>21</v>
      </c>
      <c r="C99">
        <v>988.03782801968202</v>
      </c>
      <c r="D99" s="31">
        <v>1E+30</v>
      </c>
      <c r="E99">
        <v>1292.3728999999901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3">
        <v>0</v>
      </c>
      <c r="P99" s="3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t="s">
        <v>53</v>
      </c>
      <c r="B100" t="s">
        <v>22</v>
      </c>
      <c r="C100">
        <v>1530.47935919308</v>
      </c>
      <c r="D100" s="31">
        <v>1E+30</v>
      </c>
      <c r="E100">
        <v>1979.7137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3">
        <v>0</v>
      </c>
      <c r="P100" s="3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54</v>
      </c>
      <c r="B101" t="s">
        <v>19</v>
      </c>
      <c r="C101">
        <v>367.877874525594</v>
      </c>
      <c r="D101" s="31">
        <v>1E+30</v>
      </c>
      <c r="E101">
        <v>464.79500000000002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3">
        <v>0</v>
      </c>
      <c r="P101" s="3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t="s">
        <v>54</v>
      </c>
      <c r="B102" t="s">
        <v>20</v>
      </c>
      <c r="C102">
        <v>1216.4843822021501</v>
      </c>
      <c r="D102" s="31">
        <v>1E+30</v>
      </c>
      <c r="E102">
        <v>1511.2248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3">
        <v>0</v>
      </c>
      <c r="P102" s="3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t="s">
        <v>54</v>
      </c>
      <c r="B103" t="s">
        <v>21</v>
      </c>
      <c r="C103">
        <v>1098.9173202546001</v>
      </c>
      <c r="D103" s="31">
        <v>1E+30</v>
      </c>
      <c r="E103">
        <v>1538.9049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3">
        <v>0</v>
      </c>
      <c r="P103" s="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t="s">
        <v>54</v>
      </c>
      <c r="B104" t="s">
        <v>22</v>
      </c>
      <c r="C104">
        <v>1120.4841202078801</v>
      </c>
      <c r="D104" s="31">
        <v>1E+30</v>
      </c>
      <c r="E104">
        <v>1461.1261999999999</v>
      </c>
      <c r="F104">
        <v>0</v>
      </c>
      <c r="G104">
        <v>0</v>
      </c>
      <c r="H104">
        <v>50000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50000</v>
      </c>
      <c r="O104" s="3">
        <v>0</v>
      </c>
      <c r="P104" s="3">
        <v>0</v>
      </c>
      <c r="Q104">
        <v>50000</v>
      </c>
      <c r="R104">
        <v>0</v>
      </c>
      <c r="S104">
        <v>0</v>
      </c>
      <c r="T104">
        <v>50000</v>
      </c>
      <c r="U104">
        <v>0</v>
      </c>
    </row>
    <row r="105" spans="1:21" x14ac:dyDescent="0.2">
      <c r="A105" t="s">
        <v>55</v>
      </c>
      <c r="B105" t="s">
        <v>19</v>
      </c>
      <c r="C105">
        <v>1559.09817345998</v>
      </c>
      <c r="D105" s="31">
        <v>1E+30</v>
      </c>
      <c r="E105">
        <v>1957.3381999999999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3">
        <v>0</v>
      </c>
      <c r="P105" s="3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t="s">
        <v>55</v>
      </c>
      <c r="B106" t="s">
        <v>20</v>
      </c>
      <c r="C106">
        <v>714.30198187844996</v>
      </c>
      <c r="D106" s="31">
        <v>1E+30</v>
      </c>
      <c r="E106">
        <v>855.08460000000002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3">
        <v>0</v>
      </c>
      <c r="P106" s="3">
        <v>0</v>
      </c>
      <c r="Q106">
        <v>19966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55</v>
      </c>
      <c r="B107" t="s">
        <v>21</v>
      </c>
      <c r="C107">
        <v>1950.44679609537</v>
      </c>
      <c r="D107" s="3">
        <v>3176.12</v>
      </c>
      <c r="E107">
        <v>2735.1374000000001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3">
        <v>0</v>
      </c>
      <c r="P107" s="3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55</v>
      </c>
      <c r="B108" t="s">
        <v>22</v>
      </c>
      <c r="C108">
        <v>2855.2500719434802</v>
      </c>
      <c r="D108" s="3">
        <v>5125.41</v>
      </c>
      <c r="E108">
        <v>3703.6586000000002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3">
        <v>0</v>
      </c>
      <c r="P108" s="3">
        <v>0</v>
      </c>
      <c r="Q108">
        <v>0</v>
      </c>
      <c r="R108">
        <v>0</v>
      </c>
      <c r="S108">
        <v>0</v>
      </c>
      <c r="T108">
        <v>0</v>
      </c>
      <c r="U108">
        <v>20000</v>
      </c>
    </row>
    <row r="109" spans="1:21" x14ac:dyDescent="0.2">
      <c r="A109" t="s">
        <v>56</v>
      </c>
      <c r="B109" t="s">
        <v>19</v>
      </c>
      <c r="C109">
        <v>1266.1262677673999</v>
      </c>
      <c r="D109" s="31">
        <v>1E+30</v>
      </c>
      <c r="E109">
        <v>1615.0483999999999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3">
        <v>0</v>
      </c>
      <c r="P109" s="3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t="s">
        <v>56</v>
      </c>
      <c r="B110" t="s">
        <v>20</v>
      </c>
      <c r="C110">
        <v>1758.7329724953199</v>
      </c>
      <c r="D110" s="31">
        <v>1E+30</v>
      </c>
      <c r="E110">
        <v>3579.8420000000001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3">
        <v>0</v>
      </c>
      <c r="P110" s="3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56</v>
      </c>
      <c r="B111" t="s">
        <v>21</v>
      </c>
      <c r="C111">
        <v>367.81425173509098</v>
      </c>
      <c r="D111" s="3">
        <v>419.79</v>
      </c>
      <c r="E111">
        <v>406.91469999999998</v>
      </c>
      <c r="F111">
        <v>0</v>
      </c>
      <c r="G111">
        <v>0</v>
      </c>
      <c r="H111">
        <v>60000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60000</v>
      </c>
      <c r="O111" s="3">
        <v>0</v>
      </c>
      <c r="P111" s="3">
        <v>0</v>
      </c>
      <c r="Q111">
        <v>60000</v>
      </c>
      <c r="R111">
        <v>0</v>
      </c>
      <c r="S111">
        <v>0</v>
      </c>
      <c r="T111">
        <v>0</v>
      </c>
      <c r="U111">
        <v>60000</v>
      </c>
    </row>
    <row r="112" spans="1:21" x14ac:dyDescent="0.2">
      <c r="A112" t="s">
        <v>56</v>
      </c>
      <c r="B112" t="s">
        <v>22</v>
      </c>
      <c r="C112">
        <v>2462.37046531326</v>
      </c>
      <c r="D112" s="3">
        <v>7414.61</v>
      </c>
      <c r="E112">
        <v>3392.9079999999999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s="3">
        <v>0</v>
      </c>
      <c r="P112" s="3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t="s">
        <v>57</v>
      </c>
      <c r="B113" t="s">
        <v>19</v>
      </c>
      <c r="C113">
        <v>437.82381957224999</v>
      </c>
      <c r="D113" s="31">
        <v>1E+30</v>
      </c>
      <c r="E113">
        <v>559.99469999999997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3">
        <v>0</v>
      </c>
      <c r="P113" s="3">
        <v>0</v>
      </c>
      <c r="Q113">
        <v>0</v>
      </c>
      <c r="R113">
        <v>0</v>
      </c>
      <c r="S113">
        <v>0</v>
      </c>
      <c r="T113">
        <v>16500</v>
      </c>
      <c r="U113">
        <v>0</v>
      </c>
    </row>
    <row r="114" spans="1:21" x14ac:dyDescent="0.2">
      <c r="A114" t="s">
        <v>57</v>
      </c>
      <c r="B114" t="s">
        <v>20</v>
      </c>
      <c r="C114">
        <v>1272.17724890417</v>
      </c>
      <c r="D114" s="31">
        <v>1E+30</v>
      </c>
      <c r="E114">
        <v>1426.7084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3">
        <v>0</v>
      </c>
      <c r="P114" s="3">
        <v>0</v>
      </c>
      <c r="Q114">
        <v>0</v>
      </c>
      <c r="R114">
        <v>0</v>
      </c>
      <c r="S114">
        <v>0</v>
      </c>
      <c r="T114">
        <v>18000</v>
      </c>
      <c r="U114">
        <v>0</v>
      </c>
    </row>
    <row r="115" spans="1:21" x14ac:dyDescent="0.2">
      <c r="A115" t="s">
        <v>57</v>
      </c>
      <c r="B115" t="s">
        <v>21</v>
      </c>
      <c r="C115">
        <v>554.54740671752097</v>
      </c>
      <c r="D115" s="31">
        <v>1E+30</v>
      </c>
      <c r="E115">
        <v>664.62980000000005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s="3">
        <v>0</v>
      </c>
      <c r="P115" s="3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t="s">
        <v>57</v>
      </c>
      <c r="B116" t="s">
        <v>22</v>
      </c>
      <c r="C116">
        <v>1592.6403948331599</v>
      </c>
      <c r="D116" s="31">
        <v>1E+30</v>
      </c>
      <c r="E116">
        <v>2312.9658999999901</v>
      </c>
      <c r="F116">
        <v>0</v>
      </c>
      <c r="G116">
        <v>0</v>
      </c>
      <c r="H116">
        <v>45000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45000</v>
      </c>
      <c r="O116" s="3">
        <v>0</v>
      </c>
      <c r="P116" s="3">
        <v>0</v>
      </c>
      <c r="Q116">
        <v>45000</v>
      </c>
      <c r="R116">
        <v>0</v>
      </c>
      <c r="S116">
        <v>0</v>
      </c>
      <c r="T116">
        <v>10500</v>
      </c>
      <c r="U116">
        <v>0</v>
      </c>
    </row>
    <row r="118" spans="1:21" x14ac:dyDescent="0.2">
      <c r="A118" s="32" t="s">
        <v>191</v>
      </c>
      <c r="B118" s="32" t="s">
        <v>39</v>
      </c>
      <c r="C118" s="32" t="s">
        <v>192</v>
      </c>
    </row>
    <row r="119" spans="1:21" x14ac:dyDescent="0.2">
      <c r="A119">
        <v>1</v>
      </c>
      <c r="B119" s="39">
        <v>72215658</v>
      </c>
      <c r="C119">
        <v>0</v>
      </c>
      <c r="D119" s="31"/>
    </row>
    <row r="120" spans="1:21" x14ac:dyDescent="0.2">
      <c r="A120">
        <v>2</v>
      </c>
      <c r="B120">
        <v>59070538</v>
      </c>
      <c r="C120">
        <v>0</v>
      </c>
    </row>
    <row r="121" spans="1:21" x14ac:dyDescent="0.2">
      <c r="A121">
        <v>3</v>
      </c>
      <c r="B121">
        <v>71600000</v>
      </c>
      <c r="C121">
        <v>0</v>
      </c>
    </row>
    <row r="122" spans="1:21" x14ac:dyDescent="0.2">
      <c r="A122">
        <v>4</v>
      </c>
      <c r="B122">
        <v>57700000</v>
      </c>
      <c r="C122">
        <v>4810000000</v>
      </c>
    </row>
    <row r="123" spans="1:21" x14ac:dyDescent="0.2">
      <c r="A123">
        <v>5</v>
      </c>
      <c r="B123">
        <v>63200000</v>
      </c>
      <c r="C123">
        <v>786000000</v>
      </c>
    </row>
    <row r="124" spans="1:21" x14ac:dyDescent="0.2">
      <c r="A124">
        <v>6</v>
      </c>
      <c r="B124">
        <v>117000000</v>
      </c>
      <c r="C124">
        <v>115000000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3FCC-E7C0-EE4C-80C2-CF03DD48AD5B}">
  <sheetPr codeName="Лист6"/>
  <dimension ref="A1:S166"/>
  <sheetViews>
    <sheetView topLeftCell="A72" zoomScale="59" workbookViewId="0">
      <selection activeCell="F66" sqref="F66"/>
    </sheetView>
  </sheetViews>
  <sheetFormatPr baseColWidth="10" defaultColWidth="11" defaultRowHeight="16" x14ac:dyDescent="0.2"/>
  <sheetData>
    <row r="1" spans="1:12" x14ac:dyDescent="0.2">
      <c r="A1" t="s">
        <v>12</v>
      </c>
      <c r="B1" t="s">
        <v>8</v>
      </c>
      <c r="C1">
        <v>9000.7708288736194</v>
      </c>
      <c r="D1" t="s">
        <v>73</v>
      </c>
      <c r="E1" t="s">
        <v>74</v>
      </c>
      <c r="G1" s="1" t="s">
        <v>75</v>
      </c>
      <c r="H1" t="s">
        <v>8</v>
      </c>
      <c r="I1" t="s">
        <v>19</v>
      </c>
      <c r="J1">
        <v>283.57459999999998</v>
      </c>
      <c r="K1" t="s">
        <v>74</v>
      </c>
      <c r="L1" t="s">
        <v>76</v>
      </c>
    </row>
    <row r="2" spans="1:12" x14ac:dyDescent="0.2">
      <c r="A2" t="s">
        <v>12</v>
      </c>
      <c r="B2" t="s">
        <v>9</v>
      </c>
      <c r="C2">
        <v>8561.6520597734507</v>
      </c>
      <c r="D2" t="s">
        <v>73</v>
      </c>
      <c r="E2" t="s">
        <v>74</v>
      </c>
      <c r="H2" t="s">
        <v>8</v>
      </c>
      <c r="I2" t="s">
        <v>20</v>
      </c>
      <c r="J2">
        <v>1286.4165</v>
      </c>
      <c r="K2" t="s">
        <v>74</v>
      </c>
      <c r="L2" t="s">
        <v>76</v>
      </c>
    </row>
    <row r="3" spans="1:12" x14ac:dyDescent="0.2">
      <c r="A3" t="s">
        <v>12</v>
      </c>
      <c r="B3" t="s">
        <v>10</v>
      </c>
      <c r="C3">
        <v>9815.4661685872907</v>
      </c>
      <c r="D3" t="s">
        <v>73</v>
      </c>
      <c r="E3" t="s">
        <v>74</v>
      </c>
      <c r="H3" t="s">
        <v>8</v>
      </c>
      <c r="I3" t="s">
        <v>21</v>
      </c>
      <c r="J3">
        <v>1362.1052</v>
      </c>
      <c r="K3" t="s">
        <v>74</v>
      </c>
      <c r="L3" t="s">
        <v>76</v>
      </c>
    </row>
    <row r="4" spans="1:12" x14ac:dyDescent="0.2">
      <c r="A4" t="s">
        <v>14</v>
      </c>
      <c r="B4" t="s">
        <v>8</v>
      </c>
      <c r="C4">
        <v>8471.3719131248999</v>
      </c>
      <c r="D4" t="s">
        <v>73</v>
      </c>
      <c r="E4" t="s">
        <v>74</v>
      </c>
      <c r="H4" t="s">
        <v>8</v>
      </c>
      <c r="I4" t="s">
        <v>22</v>
      </c>
      <c r="J4">
        <v>1682.0897</v>
      </c>
      <c r="K4" t="s">
        <v>74</v>
      </c>
      <c r="L4" t="s">
        <v>76</v>
      </c>
    </row>
    <row r="5" spans="1:12" x14ac:dyDescent="0.2">
      <c r="A5" t="s">
        <v>14</v>
      </c>
      <c r="B5" t="s">
        <v>9</v>
      </c>
      <c r="C5">
        <v>7996.1371221541604</v>
      </c>
      <c r="D5" t="s">
        <v>73</v>
      </c>
      <c r="E5" t="s">
        <v>74</v>
      </c>
      <c r="H5" t="s">
        <v>9</v>
      </c>
      <c r="I5" t="s">
        <v>19</v>
      </c>
      <c r="J5">
        <v>655.22719999999902</v>
      </c>
      <c r="K5" t="s">
        <v>74</v>
      </c>
      <c r="L5" t="s">
        <v>76</v>
      </c>
    </row>
    <row r="6" spans="1:12" x14ac:dyDescent="0.2">
      <c r="A6" t="s">
        <v>14</v>
      </c>
      <c r="B6" t="s">
        <v>10</v>
      </c>
      <c r="C6">
        <v>9243.1630639055893</v>
      </c>
      <c r="D6" t="s">
        <v>73</v>
      </c>
      <c r="E6" t="s">
        <v>74</v>
      </c>
      <c r="H6" t="s">
        <v>9</v>
      </c>
      <c r="I6" t="s">
        <v>20</v>
      </c>
      <c r="J6">
        <v>1426.5703000000001</v>
      </c>
      <c r="K6" t="s">
        <v>74</v>
      </c>
      <c r="L6" t="s">
        <v>76</v>
      </c>
    </row>
    <row r="7" spans="1:12" x14ac:dyDescent="0.2">
      <c r="A7" t="s">
        <v>8</v>
      </c>
      <c r="B7" t="s">
        <v>19</v>
      </c>
      <c r="C7">
        <v>220.493191718215</v>
      </c>
      <c r="D7" t="s">
        <v>74</v>
      </c>
      <c r="E7" t="s">
        <v>76</v>
      </c>
      <c r="H7" t="s">
        <v>9</v>
      </c>
      <c r="I7" t="s">
        <v>21</v>
      </c>
      <c r="J7">
        <v>540.0489</v>
      </c>
      <c r="K7" t="s">
        <v>74</v>
      </c>
      <c r="L7" t="s">
        <v>76</v>
      </c>
    </row>
    <row r="8" spans="1:12" x14ac:dyDescent="0.2">
      <c r="A8" t="s">
        <v>8</v>
      </c>
      <c r="B8" t="s">
        <v>19</v>
      </c>
      <c r="C8">
        <v>220.493191718215</v>
      </c>
      <c r="D8" t="s">
        <v>74</v>
      </c>
      <c r="E8" t="s">
        <v>76</v>
      </c>
      <c r="H8" t="s">
        <v>9</v>
      </c>
      <c r="I8" t="s">
        <v>22</v>
      </c>
      <c r="J8">
        <v>2539.2773999999999</v>
      </c>
      <c r="K8" t="s">
        <v>74</v>
      </c>
      <c r="L8" t="s">
        <v>76</v>
      </c>
    </row>
    <row r="9" spans="1:12" x14ac:dyDescent="0.2">
      <c r="A9" t="s">
        <v>8</v>
      </c>
      <c r="B9" t="s">
        <v>20</v>
      </c>
      <c r="C9">
        <v>1019.75142829418</v>
      </c>
      <c r="D9" t="s">
        <v>74</v>
      </c>
      <c r="E9" t="s">
        <v>76</v>
      </c>
      <c r="H9" t="s">
        <v>10</v>
      </c>
      <c r="I9" t="s">
        <v>19</v>
      </c>
      <c r="J9">
        <v>1152.3353999999999</v>
      </c>
      <c r="K9" t="s">
        <v>74</v>
      </c>
      <c r="L9" t="s">
        <v>76</v>
      </c>
    </row>
    <row r="10" spans="1:12" x14ac:dyDescent="0.2">
      <c r="A10" t="s">
        <v>8</v>
      </c>
      <c r="B10" t="s">
        <v>20</v>
      </c>
      <c r="C10">
        <v>1019.75142829418</v>
      </c>
      <c r="D10" t="s">
        <v>74</v>
      </c>
      <c r="E10" t="s">
        <v>76</v>
      </c>
      <c r="H10" t="s">
        <v>10</v>
      </c>
      <c r="I10" t="s">
        <v>20</v>
      </c>
      <c r="J10">
        <v>157.0652</v>
      </c>
      <c r="K10" t="s">
        <v>74</v>
      </c>
      <c r="L10" t="s">
        <v>76</v>
      </c>
    </row>
    <row r="11" spans="1:12" x14ac:dyDescent="0.2">
      <c r="A11" t="s">
        <v>8</v>
      </c>
      <c r="B11" t="s">
        <v>21</v>
      </c>
      <c r="C11">
        <v>1099.0614343747</v>
      </c>
      <c r="D11" t="s">
        <v>74</v>
      </c>
      <c r="E11" t="s">
        <v>76</v>
      </c>
      <c r="H11" t="s">
        <v>10</v>
      </c>
      <c r="I11" t="s">
        <v>21</v>
      </c>
      <c r="J11">
        <v>2094.0954999999999</v>
      </c>
      <c r="K11" t="s">
        <v>74</v>
      </c>
      <c r="L11" t="s">
        <v>76</v>
      </c>
    </row>
    <row r="12" spans="1:12" x14ac:dyDescent="0.2">
      <c r="A12" t="s">
        <v>8</v>
      </c>
      <c r="B12" t="s">
        <v>21</v>
      </c>
      <c r="C12">
        <v>1099.0614343747</v>
      </c>
      <c r="D12" t="s">
        <v>74</v>
      </c>
      <c r="E12" t="s">
        <v>76</v>
      </c>
      <c r="H12" t="s">
        <v>10</v>
      </c>
      <c r="I12" t="s">
        <v>22</v>
      </c>
      <c r="J12">
        <v>2889.6354999999999</v>
      </c>
      <c r="K12" t="s">
        <v>74</v>
      </c>
      <c r="L12" t="s">
        <v>76</v>
      </c>
    </row>
    <row r="13" spans="1:12" x14ac:dyDescent="0.2">
      <c r="A13" t="s">
        <v>8</v>
      </c>
      <c r="B13" t="s">
        <v>22</v>
      </c>
      <c r="C13">
        <v>1263.0222458717501</v>
      </c>
      <c r="D13" t="s">
        <v>74</v>
      </c>
      <c r="E13" t="s">
        <v>76</v>
      </c>
      <c r="H13" t="s">
        <v>53</v>
      </c>
      <c r="I13" t="s">
        <v>19</v>
      </c>
      <c r="J13">
        <v>120.673</v>
      </c>
      <c r="K13" t="s">
        <v>77</v>
      </c>
      <c r="L13" t="s">
        <v>76</v>
      </c>
    </row>
    <row r="14" spans="1:12" x14ac:dyDescent="0.2">
      <c r="A14" t="s">
        <v>8</v>
      </c>
      <c r="B14" t="s">
        <v>22</v>
      </c>
      <c r="C14">
        <v>1263.0222458717501</v>
      </c>
      <c r="D14" t="s">
        <v>74</v>
      </c>
      <c r="E14" t="s">
        <v>76</v>
      </c>
      <c r="H14" t="s">
        <v>53</v>
      </c>
      <c r="I14" t="s">
        <v>20</v>
      </c>
      <c r="J14">
        <v>1055.277</v>
      </c>
      <c r="K14" t="s">
        <v>77</v>
      </c>
      <c r="L14" t="s">
        <v>76</v>
      </c>
    </row>
    <row r="15" spans="1:12" x14ac:dyDescent="0.2">
      <c r="A15" t="s">
        <v>9</v>
      </c>
      <c r="B15" t="s">
        <v>19</v>
      </c>
      <c r="C15">
        <v>519.32400741070103</v>
      </c>
      <c r="D15" t="s">
        <v>74</v>
      </c>
      <c r="E15" t="s">
        <v>76</v>
      </c>
      <c r="H15" t="s">
        <v>53</v>
      </c>
      <c r="I15" t="s">
        <v>21</v>
      </c>
      <c r="J15">
        <v>1292.3728999999901</v>
      </c>
      <c r="K15" t="s">
        <v>77</v>
      </c>
      <c r="L15" t="s">
        <v>76</v>
      </c>
    </row>
    <row r="16" spans="1:12" x14ac:dyDescent="0.2">
      <c r="A16" t="s">
        <v>9</v>
      </c>
      <c r="B16" t="s">
        <v>19</v>
      </c>
      <c r="C16">
        <v>519.32400741070103</v>
      </c>
      <c r="D16" t="s">
        <v>74</v>
      </c>
      <c r="E16" t="s">
        <v>76</v>
      </c>
      <c r="H16" t="s">
        <v>53</v>
      </c>
      <c r="I16" t="s">
        <v>22</v>
      </c>
      <c r="J16">
        <v>1979.7137</v>
      </c>
      <c r="K16" t="s">
        <v>77</v>
      </c>
      <c r="L16" t="s">
        <v>76</v>
      </c>
    </row>
    <row r="17" spans="1:19" x14ac:dyDescent="0.2">
      <c r="A17" t="s">
        <v>9</v>
      </c>
      <c r="B17" t="s">
        <v>20</v>
      </c>
      <c r="C17">
        <v>1155.2343088141799</v>
      </c>
      <c r="D17" t="s">
        <v>74</v>
      </c>
      <c r="E17" t="s">
        <v>76</v>
      </c>
      <c r="H17" t="s">
        <v>54</v>
      </c>
      <c r="I17" t="s">
        <v>19</v>
      </c>
      <c r="J17">
        <v>464.79500000000002</v>
      </c>
      <c r="K17" t="s">
        <v>77</v>
      </c>
      <c r="L17" t="s">
        <v>76</v>
      </c>
    </row>
    <row r="18" spans="1:19" x14ac:dyDescent="0.2">
      <c r="A18" t="s">
        <v>9</v>
      </c>
      <c r="B18" t="s">
        <v>20</v>
      </c>
      <c r="C18">
        <v>1155.2343088141799</v>
      </c>
      <c r="D18" t="s">
        <v>74</v>
      </c>
      <c r="E18" t="s">
        <v>76</v>
      </c>
      <c r="H18" t="s">
        <v>54</v>
      </c>
      <c r="I18" t="s">
        <v>20</v>
      </c>
      <c r="J18">
        <v>1511.2248</v>
      </c>
      <c r="K18" t="s">
        <v>77</v>
      </c>
      <c r="L18" t="s">
        <v>76</v>
      </c>
    </row>
    <row r="19" spans="1:19" x14ac:dyDescent="0.2">
      <c r="A19" t="s">
        <v>9</v>
      </c>
      <c r="B19" t="s">
        <v>21</v>
      </c>
      <c r="C19">
        <v>440.476443911795</v>
      </c>
      <c r="D19" t="s">
        <v>74</v>
      </c>
      <c r="E19" t="s">
        <v>76</v>
      </c>
      <c r="H19" t="s">
        <v>54</v>
      </c>
      <c r="I19" t="s">
        <v>21</v>
      </c>
      <c r="J19">
        <v>1538.9049</v>
      </c>
      <c r="K19" t="s">
        <v>77</v>
      </c>
      <c r="L19" t="s">
        <v>76</v>
      </c>
    </row>
    <row r="20" spans="1:19" x14ac:dyDescent="0.2">
      <c r="A20" t="s">
        <v>9</v>
      </c>
      <c r="B20" t="s">
        <v>21</v>
      </c>
      <c r="C20">
        <v>440.476443911795</v>
      </c>
      <c r="D20" t="s">
        <v>74</v>
      </c>
      <c r="E20" t="s">
        <v>76</v>
      </c>
      <c r="H20" t="s">
        <v>54</v>
      </c>
      <c r="I20" t="s">
        <v>22</v>
      </c>
      <c r="J20">
        <v>1461.1261999999999</v>
      </c>
      <c r="K20" t="s">
        <v>77</v>
      </c>
      <c r="L20" t="s">
        <v>76</v>
      </c>
    </row>
    <row r="21" spans="1:19" x14ac:dyDescent="0.2">
      <c r="A21" t="s">
        <v>9</v>
      </c>
      <c r="B21" t="s">
        <v>22</v>
      </c>
      <c r="C21">
        <v>1856.5320217174601</v>
      </c>
      <c r="D21" t="s">
        <v>74</v>
      </c>
      <c r="E21" t="s">
        <v>76</v>
      </c>
      <c r="H21" t="s">
        <v>55</v>
      </c>
      <c r="I21" t="s">
        <v>19</v>
      </c>
      <c r="J21">
        <v>1957.3381999999999</v>
      </c>
      <c r="K21" t="s">
        <v>77</v>
      </c>
      <c r="L21" t="s">
        <v>76</v>
      </c>
    </row>
    <row r="22" spans="1:19" x14ac:dyDescent="0.2">
      <c r="A22" t="s">
        <v>9</v>
      </c>
      <c r="B22" t="s">
        <v>22</v>
      </c>
      <c r="C22">
        <v>1856.5320217174601</v>
      </c>
      <c r="D22" t="s">
        <v>74</v>
      </c>
      <c r="E22" t="s">
        <v>76</v>
      </c>
      <c r="H22" t="s">
        <v>55</v>
      </c>
      <c r="I22" t="s">
        <v>20</v>
      </c>
      <c r="J22">
        <v>855.08460000000002</v>
      </c>
      <c r="K22" t="s">
        <v>77</v>
      </c>
      <c r="L22" t="s">
        <v>76</v>
      </c>
    </row>
    <row r="23" spans="1:19" x14ac:dyDescent="0.2">
      <c r="A23" t="s">
        <v>10</v>
      </c>
      <c r="B23" t="s">
        <v>19</v>
      </c>
      <c r="C23">
        <v>962.97049146446204</v>
      </c>
      <c r="D23" t="s">
        <v>74</v>
      </c>
      <c r="E23" t="s">
        <v>76</v>
      </c>
      <c r="H23" t="s">
        <v>55</v>
      </c>
      <c r="I23" t="s">
        <v>21</v>
      </c>
      <c r="J23">
        <v>2735.1374000000001</v>
      </c>
      <c r="K23" t="s">
        <v>77</v>
      </c>
      <c r="L23" t="s">
        <v>76</v>
      </c>
    </row>
    <row r="24" spans="1:19" x14ac:dyDescent="0.2">
      <c r="A24" t="s">
        <v>10</v>
      </c>
      <c r="B24" t="s">
        <v>19</v>
      </c>
      <c r="C24">
        <v>962.97049146446204</v>
      </c>
      <c r="D24" t="s">
        <v>74</v>
      </c>
      <c r="E24" t="s">
        <v>76</v>
      </c>
      <c r="H24" t="s">
        <v>55</v>
      </c>
      <c r="I24" t="s">
        <v>22</v>
      </c>
      <c r="J24">
        <v>3703.6586000000002</v>
      </c>
      <c r="K24" t="s">
        <v>77</v>
      </c>
      <c r="L24" t="s">
        <v>76</v>
      </c>
    </row>
    <row r="25" spans="1:19" x14ac:dyDescent="0.2">
      <c r="A25" t="s">
        <v>10</v>
      </c>
      <c r="B25" t="s">
        <v>20</v>
      </c>
      <c r="C25">
        <v>149.86663644240701</v>
      </c>
      <c r="D25" t="s">
        <v>74</v>
      </c>
      <c r="E25" t="s">
        <v>76</v>
      </c>
      <c r="H25" t="s">
        <v>56</v>
      </c>
      <c r="I25" t="s">
        <v>19</v>
      </c>
      <c r="J25">
        <v>1615.0483999999999</v>
      </c>
      <c r="K25" t="s">
        <v>77</v>
      </c>
      <c r="L25" t="s">
        <v>76</v>
      </c>
    </row>
    <row r="26" spans="1:19" x14ac:dyDescent="0.2">
      <c r="A26" t="s">
        <v>10</v>
      </c>
      <c r="B26" t="s">
        <v>20</v>
      </c>
      <c r="C26">
        <v>149.86663644240701</v>
      </c>
      <c r="D26" t="s">
        <v>74</v>
      </c>
      <c r="E26" t="s">
        <v>76</v>
      </c>
      <c r="H26" t="s">
        <v>56</v>
      </c>
      <c r="I26" t="s">
        <v>20</v>
      </c>
      <c r="J26">
        <v>3579.8420000000001</v>
      </c>
      <c r="K26" t="s">
        <v>77</v>
      </c>
      <c r="L26" t="s">
        <v>76</v>
      </c>
    </row>
    <row r="27" spans="1:19" x14ac:dyDescent="0.2">
      <c r="A27" t="s">
        <v>10</v>
      </c>
      <c r="B27" t="s">
        <v>21</v>
      </c>
      <c r="C27">
        <v>1675.9814252782301</v>
      </c>
      <c r="D27" t="s">
        <v>74</v>
      </c>
      <c r="E27" t="s">
        <v>76</v>
      </c>
      <c r="H27" t="s">
        <v>56</v>
      </c>
      <c r="I27" t="s">
        <v>21</v>
      </c>
      <c r="J27">
        <v>406.91469999999998</v>
      </c>
      <c r="K27" t="s">
        <v>77</v>
      </c>
      <c r="L27" t="s">
        <v>76</v>
      </c>
      <c r="M27" s="3"/>
      <c r="N27" s="3"/>
      <c r="O27" s="3"/>
      <c r="P27" s="3"/>
      <c r="Q27" s="3"/>
      <c r="R27" s="3"/>
      <c r="S27" s="3"/>
    </row>
    <row r="28" spans="1:19" x14ac:dyDescent="0.2">
      <c r="A28" t="s">
        <v>10</v>
      </c>
      <c r="B28" t="s">
        <v>21</v>
      </c>
      <c r="C28">
        <v>1675.9814252782301</v>
      </c>
      <c r="D28" t="s">
        <v>74</v>
      </c>
      <c r="E28" t="s">
        <v>76</v>
      </c>
      <c r="H28" t="s">
        <v>56</v>
      </c>
      <c r="I28" t="s">
        <v>22</v>
      </c>
      <c r="J28">
        <v>3392.9079999999999</v>
      </c>
      <c r="K28" t="s">
        <v>77</v>
      </c>
      <c r="L28" t="s">
        <v>76</v>
      </c>
      <c r="M28" s="3"/>
      <c r="N28" s="3"/>
      <c r="O28" s="3"/>
      <c r="P28" s="3"/>
      <c r="Q28" s="3"/>
      <c r="R28" s="3"/>
      <c r="S28" s="3"/>
    </row>
    <row r="29" spans="1:19" x14ac:dyDescent="0.2">
      <c r="A29" t="s">
        <v>10</v>
      </c>
      <c r="B29" t="s">
        <v>22</v>
      </c>
      <c r="C29">
        <v>2091.8001660438699</v>
      </c>
      <c r="D29" t="s">
        <v>74</v>
      </c>
      <c r="E29" t="s">
        <v>76</v>
      </c>
      <c r="H29" t="s">
        <v>57</v>
      </c>
      <c r="I29" t="s">
        <v>19</v>
      </c>
      <c r="J29">
        <v>559.99469999999997</v>
      </c>
      <c r="K29" t="s">
        <v>77</v>
      </c>
      <c r="L29" t="s">
        <v>76</v>
      </c>
      <c r="M29" s="3"/>
      <c r="N29" s="3"/>
      <c r="O29" s="3"/>
      <c r="P29" s="3"/>
      <c r="Q29" s="3"/>
      <c r="R29" s="3"/>
      <c r="S29" s="3"/>
    </row>
    <row r="30" spans="1:19" x14ac:dyDescent="0.2">
      <c r="A30" t="s">
        <v>10</v>
      </c>
      <c r="B30" t="s">
        <v>22</v>
      </c>
      <c r="C30">
        <v>2091.8001660438699</v>
      </c>
      <c r="D30" t="s">
        <v>74</v>
      </c>
      <c r="E30" t="s">
        <v>76</v>
      </c>
      <c r="H30" t="s">
        <v>57</v>
      </c>
      <c r="I30" t="s">
        <v>20</v>
      </c>
      <c r="J30">
        <v>1426.7084</v>
      </c>
      <c r="K30" t="s">
        <v>77</v>
      </c>
      <c r="L30" t="s">
        <v>76</v>
      </c>
      <c r="M30" s="3"/>
      <c r="N30" s="3"/>
      <c r="O30" s="3"/>
      <c r="P30" s="3"/>
      <c r="Q30" s="3"/>
      <c r="R30" s="3"/>
      <c r="S30" s="3"/>
    </row>
    <row r="31" spans="1:19" x14ac:dyDescent="0.2">
      <c r="A31" t="s">
        <v>53</v>
      </c>
      <c r="B31" t="s">
        <v>19</v>
      </c>
      <c r="C31">
        <v>98.065420090407898</v>
      </c>
      <c r="D31" t="s">
        <v>77</v>
      </c>
      <c r="E31" t="s">
        <v>76</v>
      </c>
      <c r="H31" t="s">
        <v>57</v>
      </c>
      <c r="I31" t="s">
        <v>21</v>
      </c>
      <c r="J31">
        <v>664.62980000000005</v>
      </c>
      <c r="K31" t="s">
        <v>77</v>
      </c>
      <c r="L31" t="s">
        <v>76</v>
      </c>
    </row>
    <row r="32" spans="1:19" x14ac:dyDescent="0.2">
      <c r="A32" t="s">
        <v>53</v>
      </c>
      <c r="B32" t="s">
        <v>19</v>
      </c>
      <c r="C32">
        <v>98.065420090407898</v>
      </c>
      <c r="D32" t="s">
        <v>77</v>
      </c>
      <c r="E32" t="s">
        <v>76</v>
      </c>
      <c r="H32" t="s">
        <v>57</v>
      </c>
      <c r="I32" t="s">
        <v>22</v>
      </c>
      <c r="J32">
        <v>2312.9658999999901</v>
      </c>
      <c r="K32" t="s">
        <v>77</v>
      </c>
      <c r="L32" t="s">
        <v>76</v>
      </c>
    </row>
    <row r="33" spans="1:12" x14ac:dyDescent="0.2">
      <c r="A33" t="s">
        <v>53</v>
      </c>
      <c r="B33" t="s">
        <v>20</v>
      </c>
      <c r="C33">
        <v>819.022410170645</v>
      </c>
      <c r="D33" t="s">
        <v>77</v>
      </c>
      <c r="E33" t="s">
        <v>76</v>
      </c>
      <c r="H33" t="s">
        <v>19</v>
      </c>
      <c r="I33" t="s">
        <v>25</v>
      </c>
      <c r="J33">
        <v>1490.4829</v>
      </c>
      <c r="K33" t="s">
        <v>76</v>
      </c>
      <c r="L33" t="s">
        <v>78</v>
      </c>
    </row>
    <row r="34" spans="1:12" x14ac:dyDescent="0.2">
      <c r="A34" t="s">
        <v>53</v>
      </c>
      <c r="B34" t="s">
        <v>20</v>
      </c>
      <c r="C34">
        <v>819.022410170645</v>
      </c>
      <c r="D34" t="s">
        <v>77</v>
      </c>
      <c r="E34" t="s">
        <v>76</v>
      </c>
      <c r="H34" t="s">
        <v>19</v>
      </c>
      <c r="I34" t="s">
        <v>26</v>
      </c>
      <c r="J34">
        <v>2651.3577999999902</v>
      </c>
      <c r="K34" t="s">
        <v>76</v>
      </c>
      <c r="L34" t="s">
        <v>78</v>
      </c>
    </row>
    <row r="35" spans="1:12" x14ac:dyDescent="0.2">
      <c r="A35" t="s">
        <v>53</v>
      </c>
      <c r="B35" t="s">
        <v>21</v>
      </c>
      <c r="C35">
        <v>988.03782801968202</v>
      </c>
      <c r="D35" t="s">
        <v>77</v>
      </c>
      <c r="E35" t="s">
        <v>76</v>
      </c>
      <c r="H35" t="s">
        <v>19</v>
      </c>
      <c r="I35" t="s">
        <v>27</v>
      </c>
      <c r="J35">
        <v>1926.7511</v>
      </c>
      <c r="K35" t="s">
        <v>76</v>
      </c>
      <c r="L35" t="s">
        <v>78</v>
      </c>
    </row>
    <row r="36" spans="1:12" x14ac:dyDescent="0.2">
      <c r="A36" t="s">
        <v>53</v>
      </c>
      <c r="B36" t="s">
        <v>21</v>
      </c>
      <c r="C36">
        <v>988.03782801968202</v>
      </c>
      <c r="D36" t="s">
        <v>77</v>
      </c>
      <c r="E36" t="s">
        <v>76</v>
      </c>
      <c r="H36" t="s">
        <v>19</v>
      </c>
      <c r="I36" t="s">
        <v>28</v>
      </c>
      <c r="J36">
        <v>1629.3367000000001</v>
      </c>
      <c r="K36" t="s">
        <v>76</v>
      </c>
      <c r="L36" t="s">
        <v>78</v>
      </c>
    </row>
    <row r="37" spans="1:12" x14ac:dyDescent="0.2">
      <c r="A37" t="s">
        <v>53</v>
      </c>
      <c r="B37" t="s">
        <v>22</v>
      </c>
      <c r="C37">
        <v>1530.47935919308</v>
      </c>
      <c r="D37" t="s">
        <v>77</v>
      </c>
      <c r="E37" t="s">
        <v>76</v>
      </c>
      <c r="H37" t="s">
        <v>19</v>
      </c>
      <c r="I37" t="s">
        <v>29</v>
      </c>
      <c r="J37">
        <v>499.1123</v>
      </c>
      <c r="K37" t="s">
        <v>76</v>
      </c>
      <c r="L37" t="s">
        <v>78</v>
      </c>
    </row>
    <row r="38" spans="1:12" x14ac:dyDescent="0.2">
      <c r="A38" t="s">
        <v>53</v>
      </c>
      <c r="B38" t="s">
        <v>22</v>
      </c>
      <c r="C38">
        <v>1530.47935919308</v>
      </c>
      <c r="D38" t="s">
        <v>77</v>
      </c>
      <c r="E38" t="s">
        <v>76</v>
      </c>
      <c r="H38" t="s">
        <v>19</v>
      </c>
      <c r="I38" t="s">
        <v>30</v>
      </c>
      <c r="J38">
        <v>1476.8573999999901</v>
      </c>
      <c r="K38" t="s">
        <v>76</v>
      </c>
      <c r="L38" t="s">
        <v>78</v>
      </c>
    </row>
    <row r="39" spans="1:12" x14ac:dyDescent="0.2">
      <c r="A39" t="s">
        <v>54</v>
      </c>
      <c r="B39" t="s">
        <v>19</v>
      </c>
      <c r="C39">
        <v>367.877874525594</v>
      </c>
      <c r="D39" t="s">
        <v>77</v>
      </c>
      <c r="E39" t="s">
        <v>76</v>
      </c>
      <c r="H39" t="s">
        <v>19</v>
      </c>
      <c r="I39" t="s">
        <v>31</v>
      </c>
      <c r="J39">
        <v>1126.5368000000001</v>
      </c>
      <c r="K39" t="s">
        <v>76</v>
      </c>
      <c r="L39" t="s">
        <v>78</v>
      </c>
    </row>
    <row r="40" spans="1:12" x14ac:dyDescent="0.2">
      <c r="A40" t="s">
        <v>54</v>
      </c>
      <c r="B40" t="s">
        <v>19</v>
      </c>
      <c r="C40">
        <v>367.877874525594</v>
      </c>
      <c r="D40" t="s">
        <v>77</v>
      </c>
      <c r="E40" t="s">
        <v>76</v>
      </c>
      <c r="H40" t="s">
        <v>19</v>
      </c>
      <c r="I40" t="s">
        <v>32</v>
      </c>
      <c r="J40">
        <v>757.14750000000004</v>
      </c>
      <c r="K40" t="s">
        <v>76</v>
      </c>
      <c r="L40" t="s">
        <v>78</v>
      </c>
    </row>
    <row r="41" spans="1:12" x14ac:dyDescent="0.2">
      <c r="A41" t="s">
        <v>54</v>
      </c>
      <c r="B41" t="s">
        <v>20</v>
      </c>
      <c r="C41">
        <v>1216.4843822021501</v>
      </c>
      <c r="D41" t="s">
        <v>77</v>
      </c>
      <c r="E41" t="s">
        <v>76</v>
      </c>
      <c r="H41" t="s">
        <v>19</v>
      </c>
      <c r="I41" t="s">
        <v>33</v>
      </c>
      <c r="J41">
        <v>957.81029999999998</v>
      </c>
      <c r="K41" t="s">
        <v>76</v>
      </c>
      <c r="L41" t="s">
        <v>78</v>
      </c>
    </row>
    <row r="42" spans="1:12" x14ac:dyDescent="0.2">
      <c r="A42" t="s">
        <v>54</v>
      </c>
      <c r="B42" t="s">
        <v>20</v>
      </c>
      <c r="C42">
        <v>1216.4843822021501</v>
      </c>
      <c r="D42" t="s">
        <v>77</v>
      </c>
      <c r="E42" t="s">
        <v>76</v>
      </c>
      <c r="H42" t="s">
        <v>19</v>
      </c>
      <c r="I42" t="s">
        <v>34</v>
      </c>
      <c r="J42">
        <v>2655.6288999999902</v>
      </c>
      <c r="K42" t="s">
        <v>76</v>
      </c>
      <c r="L42" t="s">
        <v>78</v>
      </c>
    </row>
    <row r="43" spans="1:12" x14ac:dyDescent="0.2">
      <c r="A43" t="s">
        <v>54</v>
      </c>
      <c r="B43" t="s">
        <v>21</v>
      </c>
      <c r="C43">
        <v>1098.9173202546001</v>
      </c>
      <c r="D43" t="s">
        <v>77</v>
      </c>
      <c r="E43" t="s">
        <v>76</v>
      </c>
      <c r="H43" t="s">
        <v>19</v>
      </c>
      <c r="I43" t="s">
        <v>35</v>
      </c>
      <c r="J43">
        <v>2815.5151999999998</v>
      </c>
      <c r="K43" t="s">
        <v>76</v>
      </c>
      <c r="L43" t="s">
        <v>78</v>
      </c>
    </row>
    <row r="44" spans="1:12" x14ac:dyDescent="0.2">
      <c r="A44" t="s">
        <v>54</v>
      </c>
      <c r="B44" t="s">
        <v>21</v>
      </c>
      <c r="C44">
        <v>1098.9173202546001</v>
      </c>
      <c r="D44" t="s">
        <v>77</v>
      </c>
      <c r="E44" t="s">
        <v>76</v>
      </c>
      <c r="H44" t="s">
        <v>19</v>
      </c>
      <c r="I44" t="s">
        <v>36</v>
      </c>
      <c r="J44">
        <v>3241.7808999999902</v>
      </c>
      <c r="K44" t="s">
        <v>76</v>
      </c>
      <c r="L44" t="s">
        <v>78</v>
      </c>
    </row>
    <row r="45" spans="1:12" x14ac:dyDescent="0.2">
      <c r="A45" t="s">
        <v>54</v>
      </c>
      <c r="B45" t="s">
        <v>22</v>
      </c>
      <c r="C45">
        <v>1120.4841202078801</v>
      </c>
      <c r="D45" t="s">
        <v>77</v>
      </c>
      <c r="E45" t="s">
        <v>76</v>
      </c>
      <c r="H45" t="s">
        <v>20</v>
      </c>
      <c r="I45" t="s">
        <v>25</v>
      </c>
      <c r="J45">
        <v>522.65139999999997</v>
      </c>
      <c r="K45" t="s">
        <v>76</v>
      </c>
      <c r="L45" t="s">
        <v>78</v>
      </c>
    </row>
    <row r="46" spans="1:12" x14ac:dyDescent="0.2">
      <c r="A46" t="s">
        <v>54</v>
      </c>
      <c r="B46" t="s">
        <v>22</v>
      </c>
      <c r="C46">
        <v>1120.4841202078801</v>
      </c>
      <c r="D46" t="s">
        <v>77</v>
      </c>
      <c r="E46" t="s">
        <v>76</v>
      </c>
      <c r="H46" t="s">
        <v>20</v>
      </c>
      <c r="I46" t="s">
        <v>26</v>
      </c>
      <c r="J46">
        <v>3650.8874000000001</v>
      </c>
      <c r="K46" t="s">
        <v>76</v>
      </c>
      <c r="L46" t="s">
        <v>78</v>
      </c>
    </row>
    <row r="47" spans="1:12" x14ac:dyDescent="0.2">
      <c r="A47" t="s">
        <v>55</v>
      </c>
      <c r="B47" t="s">
        <v>19</v>
      </c>
      <c r="C47">
        <v>1559.09817345998</v>
      </c>
      <c r="D47" t="s">
        <v>77</v>
      </c>
      <c r="E47" t="s">
        <v>76</v>
      </c>
      <c r="H47" t="s">
        <v>20</v>
      </c>
      <c r="I47" t="s">
        <v>27</v>
      </c>
      <c r="J47">
        <v>2926.2808</v>
      </c>
      <c r="K47" t="s">
        <v>76</v>
      </c>
      <c r="L47" t="s">
        <v>78</v>
      </c>
    </row>
    <row r="48" spans="1:12" x14ac:dyDescent="0.2">
      <c r="A48" t="s">
        <v>55</v>
      </c>
      <c r="B48" t="s">
        <v>19</v>
      </c>
      <c r="C48">
        <v>1559.09817345998</v>
      </c>
      <c r="D48" t="s">
        <v>77</v>
      </c>
      <c r="E48" t="s">
        <v>76</v>
      </c>
      <c r="H48" t="s">
        <v>20</v>
      </c>
      <c r="I48" t="s">
        <v>28</v>
      </c>
      <c r="J48">
        <v>661.50519999999995</v>
      </c>
      <c r="K48" t="s">
        <v>76</v>
      </c>
      <c r="L48" t="s">
        <v>78</v>
      </c>
    </row>
    <row r="49" spans="1:12" x14ac:dyDescent="0.2">
      <c r="A49" t="s">
        <v>55</v>
      </c>
      <c r="B49" t="s">
        <v>20</v>
      </c>
      <c r="C49">
        <v>714.30198187844996</v>
      </c>
      <c r="D49" t="s">
        <v>77</v>
      </c>
      <c r="E49" t="s">
        <v>76</v>
      </c>
      <c r="H49" t="s">
        <v>20</v>
      </c>
      <c r="I49" t="s">
        <v>29</v>
      </c>
      <c r="J49">
        <v>862.62419999999997</v>
      </c>
      <c r="K49" t="s">
        <v>76</v>
      </c>
      <c r="L49" t="s">
        <v>78</v>
      </c>
    </row>
    <row r="50" spans="1:12" x14ac:dyDescent="0.2">
      <c r="A50" t="s">
        <v>55</v>
      </c>
      <c r="B50" t="s">
        <v>20</v>
      </c>
      <c r="C50">
        <v>714.30198187844996</v>
      </c>
      <c r="D50" t="s">
        <v>77</v>
      </c>
      <c r="E50" t="s">
        <v>76</v>
      </c>
      <c r="H50" t="s">
        <v>20</v>
      </c>
      <c r="I50" t="s">
        <v>30</v>
      </c>
      <c r="J50">
        <v>376.52109999999999</v>
      </c>
      <c r="K50" t="s">
        <v>76</v>
      </c>
      <c r="L50" t="s">
        <v>78</v>
      </c>
    </row>
    <row r="51" spans="1:12" x14ac:dyDescent="0.2">
      <c r="A51" t="s">
        <v>55</v>
      </c>
      <c r="B51" t="s">
        <v>21</v>
      </c>
      <c r="C51">
        <v>1950.44679609537</v>
      </c>
      <c r="D51" t="s">
        <v>77</v>
      </c>
      <c r="E51" t="s">
        <v>76</v>
      </c>
      <c r="H51" t="s">
        <v>20</v>
      </c>
      <c r="I51" t="s">
        <v>31</v>
      </c>
      <c r="J51">
        <v>198.95500000000001</v>
      </c>
      <c r="K51" t="s">
        <v>76</v>
      </c>
      <c r="L51" t="s">
        <v>78</v>
      </c>
    </row>
    <row r="52" spans="1:12" x14ac:dyDescent="0.2">
      <c r="A52" t="s">
        <v>55</v>
      </c>
      <c r="B52" t="s">
        <v>21</v>
      </c>
      <c r="C52">
        <v>1950.44679609537</v>
      </c>
      <c r="D52" t="s">
        <v>77</v>
      </c>
      <c r="E52" t="s">
        <v>76</v>
      </c>
      <c r="H52" t="s">
        <v>20</v>
      </c>
      <c r="I52" t="s">
        <v>32</v>
      </c>
      <c r="J52">
        <v>737.48379999999997</v>
      </c>
      <c r="K52" t="s">
        <v>76</v>
      </c>
      <c r="L52" t="s">
        <v>78</v>
      </c>
    </row>
    <row r="53" spans="1:12" x14ac:dyDescent="0.2">
      <c r="A53" t="s">
        <v>55</v>
      </c>
      <c r="B53" t="s">
        <v>22</v>
      </c>
      <c r="C53">
        <v>2855.2500719434802</v>
      </c>
      <c r="D53" t="s">
        <v>77</v>
      </c>
      <c r="E53" t="s">
        <v>76</v>
      </c>
      <c r="H53" t="s">
        <v>20</v>
      </c>
      <c r="I53" t="s">
        <v>33</v>
      </c>
      <c r="J53">
        <v>1843.174</v>
      </c>
      <c r="K53" t="s">
        <v>76</v>
      </c>
      <c r="L53" t="s">
        <v>78</v>
      </c>
    </row>
    <row r="54" spans="1:12" x14ac:dyDescent="0.2">
      <c r="A54" t="s">
        <v>55</v>
      </c>
      <c r="B54" t="s">
        <v>22</v>
      </c>
      <c r="C54">
        <v>2855.2500719434802</v>
      </c>
      <c r="D54" t="s">
        <v>77</v>
      </c>
      <c r="E54" t="s">
        <v>76</v>
      </c>
      <c r="H54" t="s">
        <v>20</v>
      </c>
      <c r="I54" t="s">
        <v>34</v>
      </c>
      <c r="J54">
        <v>1741.4002</v>
      </c>
      <c r="K54" t="s">
        <v>76</v>
      </c>
      <c r="L54" t="s">
        <v>78</v>
      </c>
    </row>
    <row r="55" spans="1:12" x14ac:dyDescent="0.2">
      <c r="A55" t="s">
        <v>56</v>
      </c>
      <c r="B55" t="s">
        <v>19</v>
      </c>
      <c r="C55">
        <v>1266.1262677673999</v>
      </c>
      <c r="D55" t="s">
        <v>77</v>
      </c>
      <c r="E55" t="s">
        <v>76</v>
      </c>
      <c r="H55" t="s">
        <v>20</v>
      </c>
      <c r="I55" t="s">
        <v>35</v>
      </c>
      <c r="J55">
        <v>1901.2865999999999</v>
      </c>
      <c r="K55" t="s">
        <v>76</v>
      </c>
      <c r="L55" t="s">
        <v>78</v>
      </c>
    </row>
    <row r="56" spans="1:12" x14ac:dyDescent="0.2">
      <c r="A56" t="s">
        <v>56</v>
      </c>
      <c r="B56" t="s">
        <v>19</v>
      </c>
      <c r="C56">
        <v>1266.1262677673999</v>
      </c>
      <c r="D56" t="s">
        <v>77</v>
      </c>
      <c r="E56" t="s">
        <v>76</v>
      </c>
      <c r="H56" t="s">
        <v>20</v>
      </c>
      <c r="I56" t="s">
        <v>36</v>
      </c>
      <c r="J56">
        <v>3197.3615</v>
      </c>
      <c r="K56" t="s">
        <v>76</v>
      </c>
      <c r="L56" t="s">
        <v>78</v>
      </c>
    </row>
    <row r="57" spans="1:12" x14ac:dyDescent="0.2">
      <c r="A57" t="s">
        <v>56</v>
      </c>
      <c r="B57" t="s">
        <v>20</v>
      </c>
      <c r="C57">
        <v>1758.7329724953199</v>
      </c>
      <c r="D57" t="s">
        <v>77</v>
      </c>
      <c r="E57" t="s">
        <v>76</v>
      </c>
      <c r="H57" t="s">
        <v>21</v>
      </c>
      <c r="I57" t="s">
        <v>25</v>
      </c>
      <c r="J57">
        <v>2425.3516</v>
      </c>
      <c r="K57" t="s">
        <v>76</v>
      </c>
      <c r="L57" t="s">
        <v>78</v>
      </c>
    </row>
    <row r="58" spans="1:12" x14ac:dyDescent="0.2">
      <c r="A58" t="s">
        <v>56</v>
      </c>
      <c r="B58" t="s">
        <v>20</v>
      </c>
      <c r="C58">
        <v>1758.7329724953199</v>
      </c>
      <c r="D58" t="s">
        <v>77</v>
      </c>
      <c r="E58" t="s">
        <v>76</v>
      </c>
      <c r="H58" t="s">
        <v>21</v>
      </c>
      <c r="I58" t="s">
        <v>26</v>
      </c>
      <c r="J58">
        <v>3725.5347999999999</v>
      </c>
      <c r="K58" t="s">
        <v>76</v>
      </c>
      <c r="L58" t="s">
        <v>78</v>
      </c>
    </row>
    <row r="59" spans="1:12" x14ac:dyDescent="0.2">
      <c r="A59" t="s">
        <v>56</v>
      </c>
      <c r="B59" t="s">
        <v>21</v>
      </c>
      <c r="C59">
        <v>367.81425173509098</v>
      </c>
      <c r="D59" t="s">
        <v>77</v>
      </c>
      <c r="E59" t="s">
        <v>76</v>
      </c>
      <c r="H59" t="s">
        <v>21</v>
      </c>
      <c r="I59" t="s">
        <v>27</v>
      </c>
      <c r="J59">
        <v>3000.9281999999998</v>
      </c>
      <c r="K59" t="s">
        <v>76</v>
      </c>
      <c r="L59" t="s">
        <v>78</v>
      </c>
    </row>
    <row r="60" spans="1:12" x14ac:dyDescent="0.2">
      <c r="A60" t="s">
        <v>56</v>
      </c>
      <c r="B60" t="s">
        <v>21</v>
      </c>
      <c r="C60">
        <v>367.81425173509098</v>
      </c>
      <c r="D60" t="s">
        <v>77</v>
      </c>
      <c r="E60" t="s">
        <v>76</v>
      </c>
      <c r="H60" t="s">
        <v>21</v>
      </c>
      <c r="I60" t="s">
        <v>28</v>
      </c>
      <c r="J60">
        <v>2564.2053999999998</v>
      </c>
      <c r="K60" t="s">
        <v>76</v>
      </c>
      <c r="L60" t="s">
        <v>78</v>
      </c>
    </row>
    <row r="61" spans="1:12" x14ac:dyDescent="0.2">
      <c r="A61" t="s">
        <v>56</v>
      </c>
      <c r="B61" t="s">
        <v>22</v>
      </c>
      <c r="C61">
        <v>2462.37046531326</v>
      </c>
      <c r="D61" t="s">
        <v>77</v>
      </c>
      <c r="E61" t="s">
        <v>76</v>
      </c>
      <c r="H61" t="s">
        <v>21</v>
      </c>
      <c r="I61" t="s">
        <v>29</v>
      </c>
      <c r="J61">
        <v>1607.6742999999999</v>
      </c>
      <c r="K61" t="s">
        <v>76</v>
      </c>
      <c r="L61" t="s">
        <v>78</v>
      </c>
    </row>
    <row r="62" spans="1:12" x14ac:dyDescent="0.2">
      <c r="A62" t="s">
        <v>56</v>
      </c>
      <c r="B62" t="s">
        <v>22</v>
      </c>
      <c r="C62">
        <v>2462.37046531326</v>
      </c>
      <c r="D62" t="s">
        <v>77</v>
      </c>
      <c r="E62" t="s">
        <v>76</v>
      </c>
      <c r="H62" t="s">
        <v>21</v>
      </c>
      <c r="I62" t="s">
        <v>30</v>
      </c>
      <c r="J62">
        <v>2224.5360000000001</v>
      </c>
      <c r="K62" t="s">
        <v>76</v>
      </c>
      <c r="L62" t="s">
        <v>78</v>
      </c>
    </row>
    <row r="63" spans="1:12" x14ac:dyDescent="0.2">
      <c r="A63" t="s">
        <v>57</v>
      </c>
      <c r="B63" t="s">
        <v>19</v>
      </c>
      <c r="C63">
        <v>437.82381957224999</v>
      </c>
      <c r="D63" t="s">
        <v>77</v>
      </c>
      <c r="E63" t="s">
        <v>76</v>
      </c>
      <c r="H63" t="s">
        <v>21</v>
      </c>
      <c r="I63" t="s">
        <v>31</v>
      </c>
      <c r="J63">
        <v>2112.6426000000001</v>
      </c>
      <c r="K63" t="s">
        <v>76</v>
      </c>
      <c r="L63" t="s">
        <v>78</v>
      </c>
    </row>
    <row r="64" spans="1:12" x14ac:dyDescent="0.2">
      <c r="A64" t="s">
        <v>57</v>
      </c>
      <c r="B64" t="s">
        <v>19</v>
      </c>
      <c r="C64">
        <v>437.82381957224999</v>
      </c>
      <c r="D64" t="s">
        <v>77</v>
      </c>
      <c r="E64" t="s">
        <v>76</v>
      </c>
      <c r="H64" t="s">
        <v>21</v>
      </c>
      <c r="I64" t="s">
        <v>32</v>
      </c>
      <c r="J64">
        <v>1340.1551999999999</v>
      </c>
      <c r="K64" t="s">
        <v>76</v>
      </c>
      <c r="L64" t="s">
        <v>78</v>
      </c>
    </row>
    <row r="65" spans="1:12" x14ac:dyDescent="0.2">
      <c r="A65" t="s">
        <v>57</v>
      </c>
      <c r="B65" t="s">
        <v>20</v>
      </c>
      <c r="C65">
        <v>1272.17724890417</v>
      </c>
      <c r="D65" t="s">
        <v>77</v>
      </c>
      <c r="E65" t="s">
        <v>76</v>
      </c>
      <c r="H65" t="s">
        <v>21</v>
      </c>
      <c r="I65" t="s">
        <v>33</v>
      </c>
      <c r="J65">
        <v>259.6909</v>
      </c>
      <c r="K65" t="s">
        <v>76</v>
      </c>
      <c r="L65" t="s">
        <v>78</v>
      </c>
    </row>
    <row r="66" spans="1:12" x14ac:dyDescent="0.2">
      <c r="A66" t="s">
        <v>57</v>
      </c>
      <c r="B66" t="s">
        <v>20</v>
      </c>
      <c r="C66">
        <v>1272.17724890417</v>
      </c>
      <c r="D66" t="s">
        <v>77</v>
      </c>
      <c r="E66" t="s">
        <v>76</v>
      </c>
      <c r="H66" t="s">
        <v>21</v>
      </c>
      <c r="I66" t="s">
        <v>34</v>
      </c>
      <c r="J66">
        <v>3644.1003999999998</v>
      </c>
      <c r="K66" t="s">
        <v>76</v>
      </c>
      <c r="L66" t="s">
        <v>78</v>
      </c>
    </row>
    <row r="67" spans="1:12" x14ac:dyDescent="0.2">
      <c r="A67" t="s">
        <v>57</v>
      </c>
      <c r="B67" t="s">
        <v>21</v>
      </c>
      <c r="C67">
        <v>554.54740671752097</v>
      </c>
      <c r="D67" t="s">
        <v>77</v>
      </c>
      <c r="E67" t="s">
        <v>76</v>
      </c>
      <c r="H67" t="s">
        <v>21</v>
      </c>
      <c r="I67" t="s">
        <v>35</v>
      </c>
      <c r="J67">
        <v>3803.9867999999901</v>
      </c>
      <c r="K67" t="s">
        <v>76</v>
      </c>
      <c r="L67" t="s">
        <v>78</v>
      </c>
    </row>
    <row r="68" spans="1:12" x14ac:dyDescent="0.2">
      <c r="A68" t="s">
        <v>57</v>
      </c>
      <c r="B68" t="s">
        <v>21</v>
      </c>
      <c r="C68">
        <v>554.54740671752097</v>
      </c>
      <c r="D68" t="s">
        <v>77</v>
      </c>
      <c r="E68" t="s">
        <v>76</v>
      </c>
      <c r="H68" t="s">
        <v>21</v>
      </c>
      <c r="I68" t="s">
        <v>36</v>
      </c>
      <c r="J68">
        <v>809.4239</v>
      </c>
      <c r="K68" t="s">
        <v>76</v>
      </c>
      <c r="L68" t="s">
        <v>78</v>
      </c>
    </row>
    <row r="69" spans="1:12" x14ac:dyDescent="0.2">
      <c r="A69" t="s">
        <v>57</v>
      </c>
      <c r="B69" t="s">
        <v>22</v>
      </c>
      <c r="C69">
        <v>1592.6403948331599</v>
      </c>
      <c r="D69" t="s">
        <v>77</v>
      </c>
      <c r="E69" t="s">
        <v>76</v>
      </c>
      <c r="H69" t="s">
        <v>22</v>
      </c>
      <c r="I69" t="s">
        <v>25</v>
      </c>
      <c r="J69">
        <v>3220.6667000000002</v>
      </c>
      <c r="K69" t="s">
        <v>76</v>
      </c>
      <c r="L69" t="s">
        <v>78</v>
      </c>
    </row>
    <row r="70" spans="1:12" x14ac:dyDescent="0.2">
      <c r="A70" t="s">
        <v>57</v>
      </c>
      <c r="B70" t="s">
        <v>22</v>
      </c>
      <c r="C70">
        <v>1592.6403948331599</v>
      </c>
      <c r="D70" t="s">
        <v>77</v>
      </c>
      <c r="E70" t="s">
        <v>76</v>
      </c>
      <c r="H70" t="s">
        <v>22</v>
      </c>
      <c r="I70" t="s">
        <v>26</v>
      </c>
      <c r="J70">
        <v>1847.1787999999999</v>
      </c>
      <c r="K70" t="s">
        <v>76</v>
      </c>
      <c r="L70" t="s">
        <v>78</v>
      </c>
    </row>
    <row r="71" spans="1:12" x14ac:dyDescent="0.2">
      <c r="A71" t="s">
        <v>19</v>
      </c>
      <c r="B71" t="s">
        <v>25</v>
      </c>
      <c r="C71">
        <v>1280.79902014461</v>
      </c>
      <c r="D71" t="s">
        <v>76</v>
      </c>
      <c r="E71" t="s">
        <v>78</v>
      </c>
      <c r="H71" t="s">
        <v>22</v>
      </c>
      <c r="I71" t="s">
        <v>27</v>
      </c>
      <c r="J71">
        <v>11.972099999999999</v>
      </c>
      <c r="K71" t="s">
        <v>76</v>
      </c>
      <c r="L71" t="s">
        <v>78</v>
      </c>
    </row>
    <row r="72" spans="1:12" x14ac:dyDescent="0.2">
      <c r="A72" t="s">
        <v>19</v>
      </c>
      <c r="B72" t="s">
        <v>26</v>
      </c>
      <c r="C72">
        <v>1831.83338694453</v>
      </c>
      <c r="D72" t="s">
        <v>76</v>
      </c>
      <c r="E72" t="s">
        <v>78</v>
      </c>
      <c r="H72" t="s">
        <v>22</v>
      </c>
      <c r="I72" t="s">
        <v>28</v>
      </c>
      <c r="J72">
        <v>3046.5137999999902</v>
      </c>
      <c r="K72" t="s">
        <v>76</v>
      </c>
      <c r="L72" t="s">
        <v>78</v>
      </c>
    </row>
    <row r="73" spans="1:12" x14ac:dyDescent="0.2">
      <c r="A73" t="s">
        <v>19</v>
      </c>
      <c r="B73" t="s">
        <v>27</v>
      </c>
      <c r="C73">
        <v>1480.01845467153</v>
      </c>
      <c r="D73" t="s">
        <v>76</v>
      </c>
      <c r="E73" t="s">
        <v>78</v>
      </c>
      <c r="H73" t="s">
        <v>22</v>
      </c>
      <c r="I73" t="s">
        <v>29</v>
      </c>
      <c r="J73">
        <v>2033.0400999999999</v>
      </c>
      <c r="K73" t="s">
        <v>76</v>
      </c>
      <c r="L73" t="s">
        <v>78</v>
      </c>
    </row>
    <row r="74" spans="1:12" x14ac:dyDescent="0.2">
      <c r="A74" t="s">
        <v>19</v>
      </c>
      <c r="B74" t="s">
        <v>28</v>
      </c>
      <c r="C74">
        <v>1291.86574578665</v>
      </c>
      <c r="D74" t="s">
        <v>76</v>
      </c>
      <c r="E74" t="s">
        <v>78</v>
      </c>
      <c r="H74" t="s">
        <v>22</v>
      </c>
      <c r="I74" t="s">
        <v>30</v>
      </c>
      <c r="J74">
        <v>3216.3939</v>
      </c>
      <c r="K74" t="s">
        <v>76</v>
      </c>
      <c r="L74" t="s">
        <v>78</v>
      </c>
    </row>
    <row r="75" spans="1:12" x14ac:dyDescent="0.2">
      <c r="A75" t="s">
        <v>19</v>
      </c>
      <c r="B75" t="s">
        <v>29</v>
      </c>
      <c r="C75">
        <v>361.84678364460302</v>
      </c>
      <c r="D75" t="s">
        <v>76</v>
      </c>
      <c r="E75" t="s">
        <v>78</v>
      </c>
      <c r="H75" t="s">
        <v>22</v>
      </c>
      <c r="I75" t="s">
        <v>31</v>
      </c>
      <c r="J75">
        <v>2856.7206000000001</v>
      </c>
      <c r="K75" t="s">
        <v>76</v>
      </c>
      <c r="L75" t="s">
        <v>78</v>
      </c>
    </row>
    <row r="76" spans="1:12" x14ac:dyDescent="0.2">
      <c r="A76" t="s">
        <v>19</v>
      </c>
      <c r="B76" t="s">
        <v>30</v>
      </c>
      <c r="C76">
        <v>1185.02240706475</v>
      </c>
      <c r="D76" t="s">
        <v>76</v>
      </c>
      <c r="E76" t="s">
        <v>78</v>
      </c>
      <c r="H76" t="s">
        <v>22</v>
      </c>
      <c r="I76" t="s">
        <v>32</v>
      </c>
      <c r="J76">
        <v>2623.7366000000002</v>
      </c>
      <c r="K76" t="s">
        <v>76</v>
      </c>
      <c r="L76" t="s">
        <v>78</v>
      </c>
    </row>
    <row r="77" spans="1:12" x14ac:dyDescent="0.2">
      <c r="A77" t="s">
        <v>19</v>
      </c>
      <c r="B77" t="s">
        <v>31</v>
      </c>
      <c r="C77">
        <v>934.02313477309099</v>
      </c>
      <c r="D77" t="s">
        <v>76</v>
      </c>
      <c r="E77" t="s">
        <v>78</v>
      </c>
      <c r="H77" t="s">
        <v>22</v>
      </c>
      <c r="I77" t="s">
        <v>33</v>
      </c>
      <c r="J77">
        <v>2730.7902999999901</v>
      </c>
      <c r="K77" t="s">
        <v>76</v>
      </c>
      <c r="L77" t="s">
        <v>78</v>
      </c>
    </row>
    <row r="78" spans="1:12" x14ac:dyDescent="0.2">
      <c r="A78" t="s">
        <v>19</v>
      </c>
      <c r="B78" t="s">
        <v>32</v>
      </c>
      <c r="C78">
        <v>557.31895851463696</v>
      </c>
      <c r="D78" t="s">
        <v>76</v>
      </c>
      <c r="E78" t="s">
        <v>78</v>
      </c>
      <c r="H78" t="s">
        <v>22</v>
      </c>
      <c r="I78" t="s">
        <v>34</v>
      </c>
      <c r="J78">
        <v>4048.4632000000001</v>
      </c>
      <c r="K78" t="s">
        <v>76</v>
      </c>
      <c r="L78" t="s">
        <v>78</v>
      </c>
    </row>
    <row r="79" spans="1:12" x14ac:dyDescent="0.2">
      <c r="A79" t="s">
        <v>19</v>
      </c>
      <c r="B79" t="s">
        <v>33</v>
      </c>
      <c r="C79">
        <v>769.99873311259103</v>
      </c>
      <c r="D79" t="s">
        <v>76</v>
      </c>
      <c r="E79" t="s">
        <v>78</v>
      </c>
      <c r="H79" t="s">
        <v>22</v>
      </c>
      <c r="I79" t="s">
        <v>35</v>
      </c>
      <c r="J79">
        <v>4208.3495999999996</v>
      </c>
      <c r="K79" t="s">
        <v>76</v>
      </c>
      <c r="L79" t="s">
        <v>78</v>
      </c>
    </row>
    <row r="80" spans="1:12" x14ac:dyDescent="0.2">
      <c r="A80" t="s">
        <v>19</v>
      </c>
      <c r="B80" t="s">
        <v>34</v>
      </c>
      <c r="C80">
        <v>2148.6587540161499</v>
      </c>
      <c r="D80" t="s">
        <v>76</v>
      </c>
      <c r="E80" t="s">
        <v>78</v>
      </c>
      <c r="H80" t="s">
        <v>22</v>
      </c>
      <c r="I80" t="s">
        <v>36</v>
      </c>
      <c r="J80">
        <v>5108.3700999999901</v>
      </c>
      <c r="K80" t="s">
        <v>76</v>
      </c>
      <c r="L80" t="s">
        <v>78</v>
      </c>
    </row>
    <row r="81" spans="1:5" x14ac:dyDescent="0.2">
      <c r="A81" t="s">
        <v>19</v>
      </c>
      <c r="B81" t="s">
        <v>35</v>
      </c>
      <c r="C81">
        <v>2316.5231916003499</v>
      </c>
      <c r="D81" t="s">
        <v>76</v>
      </c>
      <c r="E81" t="s">
        <v>78</v>
      </c>
    </row>
    <row r="82" spans="1:5" x14ac:dyDescent="0.2">
      <c r="A82" t="s">
        <v>19</v>
      </c>
      <c r="B82" t="s">
        <v>36</v>
      </c>
      <c r="C82">
        <v>1590.57578979804</v>
      </c>
      <c r="D82" t="s">
        <v>76</v>
      </c>
      <c r="E82" t="s">
        <v>78</v>
      </c>
    </row>
    <row r="83" spans="1:5" x14ac:dyDescent="0.2">
      <c r="A83" t="s">
        <v>19</v>
      </c>
      <c r="B83" t="s">
        <v>25</v>
      </c>
      <c r="C83">
        <v>1280.79902014461</v>
      </c>
      <c r="D83" t="s">
        <v>76</v>
      </c>
      <c r="E83" t="s">
        <v>78</v>
      </c>
    </row>
    <row r="84" spans="1:5" x14ac:dyDescent="0.2">
      <c r="A84" t="s">
        <v>19</v>
      </c>
      <c r="B84" t="s">
        <v>26</v>
      </c>
      <c r="C84">
        <v>1831.83338694453</v>
      </c>
      <c r="D84" t="s">
        <v>76</v>
      </c>
      <c r="E84" t="s">
        <v>78</v>
      </c>
    </row>
    <row r="85" spans="1:5" x14ac:dyDescent="0.2">
      <c r="A85" t="s">
        <v>19</v>
      </c>
      <c r="B85" t="s">
        <v>27</v>
      </c>
      <c r="C85">
        <v>1480.01845467153</v>
      </c>
      <c r="D85" t="s">
        <v>76</v>
      </c>
      <c r="E85" t="s">
        <v>78</v>
      </c>
    </row>
    <row r="86" spans="1:5" x14ac:dyDescent="0.2">
      <c r="A86" t="s">
        <v>19</v>
      </c>
      <c r="B86" t="s">
        <v>28</v>
      </c>
      <c r="C86">
        <v>1291.86574578665</v>
      </c>
      <c r="D86" t="s">
        <v>76</v>
      </c>
      <c r="E86" t="s">
        <v>78</v>
      </c>
    </row>
    <row r="87" spans="1:5" x14ac:dyDescent="0.2">
      <c r="A87" t="s">
        <v>19</v>
      </c>
      <c r="B87" t="s">
        <v>29</v>
      </c>
      <c r="C87">
        <v>361.84678364460302</v>
      </c>
      <c r="D87" t="s">
        <v>76</v>
      </c>
      <c r="E87" t="s">
        <v>78</v>
      </c>
    </row>
    <row r="88" spans="1:5" x14ac:dyDescent="0.2">
      <c r="A88" t="s">
        <v>19</v>
      </c>
      <c r="B88" t="s">
        <v>30</v>
      </c>
      <c r="C88">
        <v>1185.02240706475</v>
      </c>
      <c r="D88" t="s">
        <v>76</v>
      </c>
      <c r="E88" t="s">
        <v>78</v>
      </c>
    </row>
    <row r="89" spans="1:5" x14ac:dyDescent="0.2">
      <c r="A89" t="s">
        <v>19</v>
      </c>
      <c r="B89" t="s">
        <v>31</v>
      </c>
      <c r="C89">
        <v>934.02313477309099</v>
      </c>
      <c r="D89" t="s">
        <v>76</v>
      </c>
      <c r="E89" t="s">
        <v>78</v>
      </c>
    </row>
    <row r="90" spans="1:5" x14ac:dyDescent="0.2">
      <c r="A90" t="s">
        <v>19</v>
      </c>
      <c r="B90" t="s">
        <v>32</v>
      </c>
      <c r="C90">
        <v>557.31895851463696</v>
      </c>
      <c r="D90" t="s">
        <v>76</v>
      </c>
      <c r="E90" t="s">
        <v>78</v>
      </c>
    </row>
    <row r="91" spans="1:5" x14ac:dyDescent="0.2">
      <c r="A91" t="s">
        <v>19</v>
      </c>
      <c r="B91" t="s">
        <v>33</v>
      </c>
      <c r="C91">
        <v>769.99873311259103</v>
      </c>
      <c r="D91" t="s">
        <v>76</v>
      </c>
      <c r="E91" t="s">
        <v>78</v>
      </c>
    </row>
    <row r="92" spans="1:5" x14ac:dyDescent="0.2">
      <c r="A92" t="s">
        <v>19</v>
      </c>
      <c r="B92" t="s">
        <v>34</v>
      </c>
      <c r="C92">
        <v>2148.6587540161499</v>
      </c>
      <c r="D92" t="s">
        <v>76</v>
      </c>
      <c r="E92" t="s">
        <v>78</v>
      </c>
    </row>
    <row r="93" spans="1:5" x14ac:dyDescent="0.2">
      <c r="A93" t="s">
        <v>19</v>
      </c>
      <c r="B93" t="s">
        <v>35</v>
      </c>
      <c r="C93">
        <v>2316.5231916003499</v>
      </c>
      <c r="D93" t="s">
        <v>76</v>
      </c>
      <c r="E93" t="s">
        <v>78</v>
      </c>
    </row>
    <row r="94" spans="1:5" x14ac:dyDescent="0.2">
      <c r="A94" t="s">
        <v>19</v>
      </c>
      <c r="B94" t="s">
        <v>36</v>
      </c>
      <c r="C94">
        <v>1590.57578979804</v>
      </c>
      <c r="D94" t="s">
        <v>76</v>
      </c>
      <c r="E94" t="s">
        <v>78</v>
      </c>
    </row>
    <row r="95" spans="1:5" x14ac:dyDescent="0.2">
      <c r="A95" t="s">
        <v>20</v>
      </c>
      <c r="B95" t="s">
        <v>25</v>
      </c>
      <c r="C95">
        <v>416.56545732363202</v>
      </c>
      <c r="D95" t="s">
        <v>76</v>
      </c>
      <c r="E95" t="s">
        <v>78</v>
      </c>
    </row>
    <row r="96" spans="1:5" x14ac:dyDescent="0.2">
      <c r="A96" t="s">
        <v>20</v>
      </c>
      <c r="B96" t="s">
        <v>26</v>
      </c>
      <c r="C96">
        <v>2530.9024453739898</v>
      </c>
      <c r="D96" t="s">
        <v>76</v>
      </c>
      <c r="E96" t="s">
        <v>78</v>
      </c>
    </row>
    <row r="97" spans="1:5" x14ac:dyDescent="0.2">
      <c r="A97" t="s">
        <v>20</v>
      </c>
      <c r="B97" t="s">
        <v>27</v>
      </c>
      <c r="C97">
        <v>2141.5278475156701</v>
      </c>
      <c r="D97" t="s">
        <v>76</v>
      </c>
      <c r="E97" t="s">
        <v>78</v>
      </c>
    </row>
    <row r="98" spans="1:5" x14ac:dyDescent="0.2">
      <c r="A98" t="s">
        <v>20</v>
      </c>
      <c r="B98" t="s">
        <v>28</v>
      </c>
      <c r="C98">
        <v>564.91897111446201</v>
      </c>
      <c r="D98" t="s">
        <v>76</v>
      </c>
      <c r="E98" t="s">
        <v>78</v>
      </c>
    </row>
    <row r="99" spans="1:5" x14ac:dyDescent="0.2">
      <c r="A99" t="s">
        <v>20</v>
      </c>
      <c r="B99" t="s">
        <v>29</v>
      </c>
      <c r="C99">
        <v>675.90874693814601</v>
      </c>
      <c r="D99" t="s">
        <v>76</v>
      </c>
      <c r="E99" t="s">
        <v>78</v>
      </c>
    </row>
    <row r="100" spans="1:5" x14ac:dyDescent="0.2">
      <c r="A100" t="s">
        <v>20</v>
      </c>
      <c r="B100" t="s">
        <v>30</v>
      </c>
      <c r="C100">
        <v>312.092911790892</v>
      </c>
      <c r="D100" t="s">
        <v>76</v>
      </c>
      <c r="E100" t="s">
        <v>78</v>
      </c>
    </row>
    <row r="101" spans="1:5" x14ac:dyDescent="0.2">
      <c r="A101" t="s">
        <v>20</v>
      </c>
      <c r="B101" t="s">
        <v>31</v>
      </c>
      <c r="C101">
        <v>172.380783027196</v>
      </c>
      <c r="D101" t="s">
        <v>76</v>
      </c>
      <c r="E101" t="s">
        <v>78</v>
      </c>
    </row>
    <row r="102" spans="1:5" x14ac:dyDescent="0.2">
      <c r="A102" t="s">
        <v>20</v>
      </c>
      <c r="B102" t="s">
        <v>32</v>
      </c>
      <c r="C102">
        <v>622.62840572447203</v>
      </c>
      <c r="D102" t="s">
        <v>76</v>
      </c>
      <c r="E102" t="s">
        <v>78</v>
      </c>
    </row>
    <row r="103" spans="1:5" x14ac:dyDescent="0.2">
      <c r="A103" t="s">
        <v>20</v>
      </c>
      <c r="B103" t="s">
        <v>33</v>
      </c>
      <c r="C103">
        <v>1497.87246641147</v>
      </c>
      <c r="D103" t="s">
        <v>76</v>
      </c>
      <c r="E103" t="s">
        <v>78</v>
      </c>
    </row>
    <row r="104" spans="1:5" x14ac:dyDescent="0.2">
      <c r="A104" t="s">
        <v>20</v>
      </c>
      <c r="B104" t="s">
        <v>34</v>
      </c>
      <c r="C104">
        <v>1388.1726064797399</v>
      </c>
      <c r="D104" t="s">
        <v>76</v>
      </c>
      <c r="E104" t="s">
        <v>78</v>
      </c>
    </row>
    <row r="105" spans="1:5" x14ac:dyDescent="0.2">
      <c r="A105" t="s">
        <v>20</v>
      </c>
      <c r="B105" t="s">
        <v>35</v>
      </c>
      <c r="C105">
        <v>1586.13478779613</v>
      </c>
      <c r="D105" t="s">
        <v>76</v>
      </c>
      <c r="E105" t="s">
        <v>78</v>
      </c>
    </row>
    <row r="106" spans="1:5" x14ac:dyDescent="0.2">
      <c r="A106" t="s">
        <v>20</v>
      </c>
      <c r="B106" t="s">
        <v>36</v>
      </c>
      <c r="C106">
        <v>1984.9421917224199</v>
      </c>
      <c r="D106" t="s">
        <v>76</v>
      </c>
      <c r="E106" t="s">
        <v>78</v>
      </c>
    </row>
    <row r="107" spans="1:5" x14ac:dyDescent="0.2">
      <c r="A107" t="s">
        <v>20</v>
      </c>
      <c r="B107" t="s">
        <v>25</v>
      </c>
      <c r="C107">
        <v>416.56545732363202</v>
      </c>
      <c r="D107" t="s">
        <v>76</v>
      </c>
      <c r="E107" t="s">
        <v>78</v>
      </c>
    </row>
    <row r="108" spans="1:5" x14ac:dyDescent="0.2">
      <c r="A108" t="s">
        <v>20</v>
      </c>
      <c r="B108" t="s">
        <v>26</v>
      </c>
      <c r="C108">
        <v>2530.9024453739898</v>
      </c>
      <c r="D108" t="s">
        <v>76</v>
      </c>
      <c r="E108" t="s">
        <v>78</v>
      </c>
    </row>
    <row r="109" spans="1:5" x14ac:dyDescent="0.2">
      <c r="A109" t="s">
        <v>20</v>
      </c>
      <c r="B109" t="s">
        <v>27</v>
      </c>
      <c r="C109">
        <v>2141.5278475156701</v>
      </c>
      <c r="D109" t="s">
        <v>76</v>
      </c>
      <c r="E109" t="s">
        <v>78</v>
      </c>
    </row>
    <row r="110" spans="1:5" x14ac:dyDescent="0.2">
      <c r="A110" t="s">
        <v>20</v>
      </c>
      <c r="B110" t="s">
        <v>28</v>
      </c>
      <c r="C110">
        <v>564.91897111446201</v>
      </c>
      <c r="D110" t="s">
        <v>76</v>
      </c>
      <c r="E110" t="s">
        <v>78</v>
      </c>
    </row>
    <row r="111" spans="1:5" x14ac:dyDescent="0.2">
      <c r="A111" t="s">
        <v>20</v>
      </c>
      <c r="B111" t="s">
        <v>29</v>
      </c>
      <c r="C111">
        <v>675.90874693814601</v>
      </c>
      <c r="D111" t="s">
        <v>76</v>
      </c>
      <c r="E111" t="s">
        <v>78</v>
      </c>
    </row>
    <row r="112" spans="1:5" x14ac:dyDescent="0.2">
      <c r="A112" t="s">
        <v>20</v>
      </c>
      <c r="B112" t="s">
        <v>30</v>
      </c>
      <c r="C112">
        <v>312.092911790892</v>
      </c>
      <c r="D112" t="s">
        <v>76</v>
      </c>
      <c r="E112" t="s">
        <v>78</v>
      </c>
    </row>
    <row r="113" spans="1:5" x14ac:dyDescent="0.2">
      <c r="A113" t="s">
        <v>20</v>
      </c>
      <c r="B113" t="s">
        <v>31</v>
      </c>
      <c r="C113">
        <v>172.380783027196</v>
      </c>
      <c r="D113" t="s">
        <v>76</v>
      </c>
      <c r="E113" t="s">
        <v>78</v>
      </c>
    </row>
    <row r="114" spans="1:5" x14ac:dyDescent="0.2">
      <c r="A114" t="s">
        <v>20</v>
      </c>
      <c r="B114" t="s">
        <v>32</v>
      </c>
      <c r="C114">
        <v>622.62840572447203</v>
      </c>
      <c r="D114" t="s">
        <v>76</v>
      </c>
      <c r="E114" t="s">
        <v>78</v>
      </c>
    </row>
    <row r="115" spans="1:5" x14ac:dyDescent="0.2">
      <c r="A115" t="s">
        <v>20</v>
      </c>
      <c r="B115" t="s">
        <v>33</v>
      </c>
      <c r="C115">
        <v>1497.87246641147</v>
      </c>
      <c r="D115" t="s">
        <v>76</v>
      </c>
      <c r="E115" t="s">
        <v>78</v>
      </c>
    </row>
    <row r="116" spans="1:5" x14ac:dyDescent="0.2">
      <c r="A116" t="s">
        <v>20</v>
      </c>
      <c r="B116" t="s">
        <v>34</v>
      </c>
      <c r="C116">
        <v>1388.1726064797399</v>
      </c>
      <c r="D116" t="s">
        <v>76</v>
      </c>
      <c r="E116" t="s">
        <v>78</v>
      </c>
    </row>
    <row r="117" spans="1:5" x14ac:dyDescent="0.2">
      <c r="A117" t="s">
        <v>20</v>
      </c>
      <c r="B117" t="s">
        <v>35</v>
      </c>
      <c r="C117">
        <v>1586.13478779613</v>
      </c>
      <c r="D117" t="s">
        <v>76</v>
      </c>
      <c r="E117" t="s">
        <v>78</v>
      </c>
    </row>
    <row r="118" spans="1:5" x14ac:dyDescent="0.2">
      <c r="A118" t="s">
        <v>20</v>
      </c>
      <c r="B118" t="s">
        <v>36</v>
      </c>
      <c r="C118">
        <v>1984.9421917224199</v>
      </c>
      <c r="D118" t="s">
        <v>76</v>
      </c>
      <c r="E118" t="s">
        <v>78</v>
      </c>
    </row>
    <row r="119" spans="1:5" x14ac:dyDescent="0.2">
      <c r="A119" t="s">
        <v>21</v>
      </c>
      <c r="B119" t="s">
        <v>25</v>
      </c>
      <c r="C119">
        <v>1980.37919327334</v>
      </c>
      <c r="D119" t="s">
        <v>76</v>
      </c>
      <c r="E119" t="s">
        <v>78</v>
      </c>
    </row>
    <row r="120" spans="1:5" x14ac:dyDescent="0.2">
      <c r="A120" t="s">
        <v>21</v>
      </c>
      <c r="B120" t="s">
        <v>26</v>
      </c>
      <c r="C120">
        <v>2361.1644657553102</v>
      </c>
      <c r="D120" t="s">
        <v>76</v>
      </c>
      <c r="E120" t="s">
        <v>78</v>
      </c>
    </row>
    <row r="121" spans="1:5" x14ac:dyDescent="0.2">
      <c r="A121" t="s">
        <v>21</v>
      </c>
      <c r="B121" t="s">
        <v>27</v>
      </c>
      <c r="C121">
        <v>2103.7152594745598</v>
      </c>
      <c r="D121" t="s">
        <v>76</v>
      </c>
      <c r="E121" t="s">
        <v>78</v>
      </c>
    </row>
    <row r="122" spans="1:5" x14ac:dyDescent="0.2">
      <c r="A122" t="s">
        <v>21</v>
      </c>
      <c r="B122" t="s">
        <v>28</v>
      </c>
      <c r="C122">
        <v>2081.5314866480999</v>
      </c>
      <c r="D122" t="s">
        <v>76</v>
      </c>
      <c r="E122" t="s">
        <v>78</v>
      </c>
    </row>
    <row r="123" spans="1:5" x14ac:dyDescent="0.2">
      <c r="A123" t="s">
        <v>21</v>
      </c>
      <c r="B123" t="s">
        <v>29</v>
      </c>
      <c r="C123">
        <v>1273.04423284779</v>
      </c>
      <c r="D123" t="s">
        <v>76</v>
      </c>
      <c r="E123" t="s">
        <v>78</v>
      </c>
    </row>
    <row r="124" spans="1:5" x14ac:dyDescent="0.2">
      <c r="A124" t="s">
        <v>21</v>
      </c>
      <c r="B124" t="s">
        <v>30</v>
      </c>
      <c r="C124">
        <v>1702.88250592752</v>
      </c>
      <c r="D124" t="s">
        <v>76</v>
      </c>
      <c r="E124" t="s">
        <v>78</v>
      </c>
    </row>
    <row r="125" spans="1:5" x14ac:dyDescent="0.2">
      <c r="A125" t="s">
        <v>21</v>
      </c>
      <c r="B125" t="s">
        <v>31</v>
      </c>
      <c r="C125">
        <v>1665.1453928292999</v>
      </c>
      <c r="D125" t="s">
        <v>76</v>
      </c>
      <c r="E125" t="s">
        <v>78</v>
      </c>
    </row>
    <row r="126" spans="1:5" x14ac:dyDescent="0.2">
      <c r="A126" t="s">
        <v>21</v>
      </c>
      <c r="B126" t="s">
        <v>32</v>
      </c>
      <c r="C126">
        <v>943.28114489019299</v>
      </c>
      <c r="D126" t="s">
        <v>76</v>
      </c>
      <c r="E126" t="s">
        <v>78</v>
      </c>
    </row>
    <row r="127" spans="1:5" x14ac:dyDescent="0.2">
      <c r="A127" t="s">
        <v>21</v>
      </c>
      <c r="B127" t="s">
        <v>33</v>
      </c>
      <c r="C127">
        <v>222.38847824468201</v>
      </c>
      <c r="D127" t="s">
        <v>76</v>
      </c>
      <c r="E127" t="s">
        <v>78</v>
      </c>
    </row>
    <row r="128" spans="1:5" x14ac:dyDescent="0.2">
      <c r="A128" t="s">
        <v>21</v>
      </c>
      <c r="B128" t="s">
        <v>34</v>
      </c>
      <c r="C128">
        <v>2940.43248654647</v>
      </c>
      <c r="D128" t="s">
        <v>76</v>
      </c>
      <c r="E128" t="s">
        <v>78</v>
      </c>
    </row>
    <row r="129" spans="1:5" x14ac:dyDescent="0.2">
      <c r="A129" t="s">
        <v>21</v>
      </c>
      <c r="B129" t="s">
        <v>35</v>
      </c>
      <c r="C129">
        <v>3129.5293641268299</v>
      </c>
      <c r="D129" t="s">
        <v>76</v>
      </c>
      <c r="E129" t="s">
        <v>78</v>
      </c>
    </row>
    <row r="130" spans="1:5" x14ac:dyDescent="0.2">
      <c r="A130" t="s">
        <v>21</v>
      </c>
      <c r="B130" t="s">
        <v>36</v>
      </c>
      <c r="C130">
        <v>713.93908579265201</v>
      </c>
      <c r="D130" t="s">
        <v>76</v>
      </c>
      <c r="E130" t="s">
        <v>78</v>
      </c>
    </row>
    <row r="131" spans="1:5" x14ac:dyDescent="0.2">
      <c r="A131" t="s">
        <v>21</v>
      </c>
      <c r="B131" t="s">
        <v>25</v>
      </c>
      <c r="C131">
        <v>1980.37919327334</v>
      </c>
      <c r="D131" t="s">
        <v>76</v>
      </c>
      <c r="E131" t="s">
        <v>78</v>
      </c>
    </row>
    <row r="132" spans="1:5" x14ac:dyDescent="0.2">
      <c r="A132" t="s">
        <v>21</v>
      </c>
      <c r="B132" t="s">
        <v>26</v>
      </c>
      <c r="C132">
        <v>2361.1644657553102</v>
      </c>
      <c r="D132" t="s">
        <v>76</v>
      </c>
      <c r="E132" t="s">
        <v>78</v>
      </c>
    </row>
    <row r="133" spans="1:5" x14ac:dyDescent="0.2">
      <c r="A133" t="s">
        <v>21</v>
      </c>
      <c r="B133" t="s">
        <v>27</v>
      </c>
      <c r="C133">
        <v>2103.7152594745598</v>
      </c>
      <c r="D133" t="s">
        <v>76</v>
      </c>
      <c r="E133" t="s">
        <v>78</v>
      </c>
    </row>
    <row r="134" spans="1:5" x14ac:dyDescent="0.2">
      <c r="A134" t="s">
        <v>21</v>
      </c>
      <c r="B134" t="s">
        <v>28</v>
      </c>
      <c r="C134">
        <v>2081.5314866480999</v>
      </c>
      <c r="D134" t="s">
        <v>76</v>
      </c>
      <c r="E134" t="s">
        <v>78</v>
      </c>
    </row>
    <row r="135" spans="1:5" x14ac:dyDescent="0.2">
      <c r="A135" t="s">
        <v>21</v>
      </c>
      <c r="B135" t="s">
        <v>29</v>
      </c>
      <c r="C135">
        <v>1273.04423284779</v>
      </c>
      <c r="D135" t="s">
        <v>76</v>
      </c>
      <c r="E135" t="s">
        <v>78</v>
      </c>
    </row>
    <row r="136" spans="1:5" x14ac:dyDescent="0.2">
      <c r="A136" t="s">
        <v>21</v>
      </c>
      <c r="B136" t="s">
        <v>30</v>
      </c>
      <c r="C136">
        <v>1702.88250592752</v>
      </c>
      <c r="D136" t="s">
        <v>76</v>
      </c>
      <c r="E136" t="s">
        <v>78</v>
      </c>
    </row>
    <row r="137" spans="1:5" x14ac:dyDescent="0.2">
      <c r="A137" t="s">
        <v>21</v>
      </c>
      <c r="B137" t="s">
        <v>31</v>
      </c>
      <c r="C137">
        <v>1665.1453928292999</v>
      </c>
      <c r="D137" t="s">
        <v>76</v>
      </c>
      <c r="E137" t="s">
        <v>78</v>
      </c>
    </row>
    <row r="138" spans="1:5" x14ac:dyDescent="0.2">
      <c r="A138" t="s">
        <v>21</v>
      </c>
      <c r="B138" t="s">
        <v>32</v>
      </c>
      <c r="C138">
        <v>943.28114489019299</v>
      </c>
      <c r="D138" t="s">
        <v>76</v>
      </c>
      <c r="E138" t="s">
        <v>78</v>
      </c>
    </row>
    <row r="139" spans="1:5" x14ac:dyDescent="0.2">
      <c r="A139" t="s">
        <v>21</v>
      </c>
      <c r="B139" t="s">
        <v>33</v>
      </c>
      <c r="C139">
        <v>222.38847824468201</v>
      </c>
      <c r="D139" t="s">
        <v>76</v>
      </c>
      <c r="E139" t="s">
        <v>78</v>
      </c>
    </row>
    <row r="140" spans="1:5" x14ac:dyDescent="0.2">
      <c r="A140" t="s">
        <v>21</v>
      </c>
      <c r="B140" t="s">
        <v>34</v>
      </c>
      <c r="C140">
        <v>2940.43248654647</v>
      </c>
      <c r="D140" t="s">
        <v>76</v>
      </c>
      <c r="E140" t="s">
        <v>78</v>
      </c>
    </row>
    <row r="141" spans="1:5" x14ac:dyDescent="0.2">
      <c r="A141" t="s">
        <v>21</v>
      </c>
      <c r="B141" t="s">
        <v>35</v>
      </c>
      <c r="C141">
        <v>3129.5293641268299</v>
      </c>
      <c r="D141" t="s">
        <v>76</v>
      </c>
      <c r="E141" t="s">
        <v>78</v>
      </c>
    </row>
    <row r="142" spans="1:5" x14ac:dyDescent="0.2">
      <c r="A142" t="s">
        <v>21</v>
      </c>
      <c r="B142" t="s">
        <v>36</v>
      </c>
      <c r="C142">
        <v>713.93908579265201</v>
      </c>
      <c r="D142" t="s">
        <v>76</v>
      </c>
      <c r="E142" t="s">
        <v>78</v>
      </c>
    </row>
    <row r="143" spans="1:5" x14ac:dyDescent="0.2">
      <c r="A143" t="s">
        <v>22</v>
      </c>
      <c r="B143" t="s">
        <v>25</v>
      </c>
      <c r="C143">
        <v>2319.2788231771501</v>
      </c>
      <c r="D143" t="s">
        <v>76</v>
      </c>
      <c r="E143" t="s">
        <v>78</v>
      </c>
    </row>
    <row r="144" spans="1:5" x14ac:dyDescent="0.2">
      <c r="A144" t="s">
        <v>22</v>
      </c>
      <c r="B144" t="s">
        <v>26</v>
      </c>
      <c r="C144">
        <v>392.73576063836202</v>
      </c>
      <c r="D144" t="s">
        <v>76</v>
      </c>
      <c r="E144" t="s">
        <v>78</v>
      </c>
    </row>
    <row r="145" spans="1:5" x14ac:dyDescent="0.2">
      <c r="A145" t="s">
        <v>22</v>
      </c>
      <c r="B145" t="s">
        <v>27</v>
      </c>
      <c r="C145">
        <v>9.1108617375619598</v>
      </c>
      <c r="D145" t="s">
        <v>76</v>
      </c>
      <c r="E145" t="s">
        <v>78</v>
      </c>
    </row>
    <row r="146" spans="1:5" x14ac:dyDescent="0.2">
      <c r="A146" t="s">
        <v>22</v>
      </c>
      <c r="B146" t="s">
        <v>28</v>
      </c>
      <c r="C146">
        <v>2163.5780479508098</v>
      </c>
      <c r="D146" t="s">
        <v>76</v>
      </c>
      <c r="E146" t="s">
        <v>78</v>
      </c>
    </row>
    <row r="147" spans="1:5" x14ac:dyDescent="0.2">
      <c r="A147" t="s">
        <v>22</v>
      </c>
      <c r="B147" t="s">
        <v>29</v>
      </c>
      <c r="C147">
        <v>1496.7519732980199</v>
      </c>
      <c r="D147" t="s">
        <v>76</v>
      </c>
      <c r="E147" t="s">
        <v>78</v>
      </c>
    </row>
    <row r="148" spans="1:5" x14ac:dyDescent="0.2">
      <c r="A148" t="s">
        <v>22</v>
      </c>
      <c r="B148" t="s">
        <v>30</v>
      </c>
      <c r="C148">
        <v>2453.0090420602</v>
      </c>
      <c r="D148" t="s">
        <v>76</v>
      </c>
      <c r="E148" t="s">
        <v>78</v>
      </c>
    </row>
    <row r="149" spans="1:5" x14ac:dyDescent="0.2">
      <c r="A149" t="s">
        <v>22</v>
      </c>
      <c r="B149" t="s">
        <v>31</v>
      </c>
      <c r="C149">
        <v>2049.05792026463</v>
      </c>
      <c r="D149" t="s">
        <v>76</v>
      </c>
      <c r="E149" t="s">
        <v>78</v>
      </c>
    </row>
    <row r="150" spans="1:5" x14ac:dyDescent="0.2">
      <c r="A150" t="s">
        <v>22</v>
      </c>
      <c r="B150" t="s">
        <v>32</v>
      </c>
      <c r="C150">
        <v>2023.5485942857199</v>
      </c>
      <c r="D150" t="s">
        <v>76</v>
      </c>
      <c r="E150" t="s">
        <v>78</v>
      </c>
    </row>
    <row r="151" spans="1:5" x14ac:dyDescent="0.2">
      <c r="A151" t="s">
        <v>22</v>
      </c>
      <c r="B151" t="s">
        <v>33</v>
      </c>
      <c r="C151">
        <v>1874.70826990912</v>
      </c>
      <c r="D151" t="s">
        <v>76</v>
      </c>
      <c r="E151" t="s">
        <v>78</v>
      </c>
    </row>
    <row r="152" spans="1:5" x14ac:dyDescent="0.2">
      <c r="A152" t="s">
        <v>22</v>
      </c>
      <c r="B152" t="s">
        <v>34</v>
      </c>
      <c r="C152">
        <v>2775.60740049171</v>
      </c>
      <c r="D152" t="s">
        <v>76</v>
      </c>
      <c r="E152" t="s">
        <v>78</v>
      </c>
    </row>
    <row r="153" spans="1:5" x14ac:dyDescent="0.2">
      <c r="A153" t="s">
        <v>22</v>
      </c>
      <c r="B153" t="s">
        <v>35</v>
      </c>
      <c r="C153">
        <v>2849.5451184773301</v>
      </c>
      <c r="D153" t="s">
        <v>76</v>
      </c>
      <c r="E153" t="s">
        <v>78</v>
      </c>
    </row>
    <row r="154" spans="1:5" x14ac:dyDescent="0.2">
      <c r="A154" t="s">
        <v>22</v>
      </c>
      <c r="B154" t="s">
        <v>36</v>
      </c>
      <c r="C154">
        <v>2806.9366483506701</v>
      </c>
      <c r="D154" t="s">
        <v>76</v>
      </c>
      <c r="E154" t="s">
        <v>78</v>
      </c>
    </row>
    <row r="155" spans="1:5" x14ac:dyDescent="0.2">
      <c r="A155" t="s">
        <v>22</v>
      </c>
      <c r="B155" t="s">
        <v>25</v>
      </c>
      <c r="C155">
        <v>2319.2788231771501</v>
      </c>
      <c r="D155" t="s">
        <v>76</v>
      </c>
      <c r="E155" t="s">
        <v>78</v>
      </c>
    </row>
    <row r="156" spans="1:5" x14ac:dyDescent="0.2">
      <c r="A156" t="s">
        <v>22</v>
      </c>
      <c r="B156" t="s">
        <v>26</v>
      </c>
      <c r="C156">
        <v>392.73576063836202</v>
      </c>
      <c r="D156" t="s">
        <v>76</v>
      </c>
      <c r="E156" t="s">
        <v>78</v>
      </c>
    </row>
    <row r="157" spans="1:5" x14ac:dyDescent="0.2">
      <c r="A157" t="s">
        <v>22</v>
      </c>
      <c r="B157" t="s">
        <v>27</v>
      </c>
      <c r="C157">
        <v>9.1108617375619598</v>
      </c>
      <c r="D157" t="s">
        <v>76</v>
      </c>
      <c r="E157" t="s">
        <v>78</v>
      </c>
    </row>
    <row r="158" spans="1:5" x14ac:dyDescent="0.2">
      <c r="A158" t="s">
        <v>22</v>
      </c>
      <c r="B158" t="s">
        <v>28</v>
      </c>
      <c r="C158">
        <v>2163.5780479508098</v>
      </c>
      <c r="D158" t="s">
        <v>76</v>
      </c>
      <c r="E158" t="s">
        <v>78</v>
      </c>
    </row>
    <row r="159" spans="1:5" x14ac:dyDescent="0.2">
      <c r="A159" t="s">
        <v>22</v>
      </c>
      <c r="B159" t="s">
        <v>29</v>
      </c>
      <c r="C159">
        <v>1496.7519732980199</v>
      </c>
      <c r="D159" t="s">
        <v>76</v>
      </c>
      <c r="E159" t="s">
        <v>78</v>
      </c>
    </row>
    <row r="160" spans="1:5" x14ac:dyDescent="0.2">
      <c r="A160" t="s">
        <v>22</v>
      </c>
      <c r="B160" t="s">
        <v>30</v>
      </c>
      <c r="C160">
        <v>2453.0090420602</v>
      </c>
      <c r="D160" t="s">
        <v>76</v>
      </c>
      <c r="E160" t="s">
        <v>78</v>
      </c>
    </row>
    <row r="161" spans="1:5" x14ac:dyDescent="0.2">
      <c r="A161" t="s">
        <v>22</v>
      </c>
      <c r="B161" t="s">
        <v>31</v>
      </c>
      <c r="C161">
        <v>2049.05792026463</v>
      </c>
      <c r="D161" t="s">
        <v>76</v>
      </c>
      <c r="E161" t="s">
        <v>78</v>
      </c>
    </row>
    <row r="162" spans="1:5" x14ac:dyDescent="0.2">
      <c r="A162" t="s">
        <v>22</v>
      </c>
      <c r="B162" t="s">
        <v>32</v>
      </c>
      <c r="C162">
        <v>2023.5485942857199</v>
      </c>
      <c r="D162" t="s">
        <v>76</v>
      </c>
      <c r="E162" t="s">
        <v>78</v>
      </c>
    </row>
    <row r="163" spans="1:5" x14ac:dyDescent="0.2">
      <c r="A163" t="s">
        <v>22</v>
      </c>
      <c r="B163" t="s">
        <v>33</v>
      </c>
      <c r="C163">
        <v>1874.70826990912</v>
      </c>
      <c r="D163" t="s">
        <v>76</v>
      </c>
      <c r="E163" t="s">
        <v>78</v>
      </c>
    </row>
    <row r="164" spans="1:5" x14ac:dyDescent="0.2">
      <c r="A164" t="s">
        <v>22</v>
      </c>
      <c r="B164" t="s">
        <v>34</v>
      </c>
      <c r="C164">
        <v>2775.60740049171</v>
      </c>
      <c r="D164" t="s">
        <v>76</v>
      </c>
      <c r="E164" t="s">
        <v>78</v>
      </c>
    </row>
    <row r="165" spans="1:5" x14ac:dyDescent="0.2">
      <c r="A165" t="s">
        <v>22</v>
      </c>
      <c r="B165" t="s">
        <v>35</v>
      </c>
      <c r="C165">
        <v>2849.5451184773301</v>
      </c>
      <c r="D165" t="s">
        <v>76</v>
      </c>
      <c r="E165" t="s">
        <v>78</v>
      </c>
    </row>
    <row r="166" spans="1:5" x14ac:dyDescent="0.2">
      <c r="A166" t="s">
        <v>22</v>
      </c>
      <c r="B166" t="s">
        <v>36</v>
      </c>
      <c r="C166">
        <v>2806.9366483506701</v>
      </c>
      <c r="D166" t="s">
        <v>76</v>
      </c>
      <c r="E166" t="s">
        <v>78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C7F9-8F2E-7045-B042-763D6C78EBFF}">
  <sheetPr codeName="Лист7"/>
  <dimension ref="A1:M51"/>
  <sheetViews>
    <sheetView zoomScale="75" workbookViewId="0">
      <selection activeCell="P42" sqref="P42"/>
    </sheetView>
  </sheetViews>
  <sheetFormatPr baseColWidth="10" defaultColWidth="11" defaultRowHeight="16" x14ac:dyDescent="0.2"/>
  <sheetData>
    <row r="1" spans="1:13" x14ac:dyDescent="0.2">
      <c r="B1" t="s">
        <v>8</v>
      </c>
      <c r="C1" t="s">
        <v>9</v>
      </c>
      <c r="D1" t="s">
        <v>10</v>
      </c>
    </row>
    <row r="2" spans="1:13" x14ac:dyDescent="0.2">
      <c r="A2" t="s">
        <v>12</v>
      </c>
      <c r="B2" s="3">
        <v>9000.7708299999995</v>
      </c>
      <c r="C2" s="3">
        <v>8561.6520600000003</v>
      </c>
      <c r="D2" s="3">
        <v>9815.4661699999997</v>
      </c>
    </row>
    <row r="3" spans="1:13" x14ac:dyDescent="0.2">
      <c r="A3" t="s">
        <v>14</v>
      </c>
      <c r="B3" s="3">
        <v>8471.3719099999998</v>
      </c>
      <c r="C3" s="3">
        <v>7996.1371200000003</v>
      </c>
      <c r="D3" s="3">
        <v>9243.1630600000008</v>
      </c>
    </row>
    <row r="5" spans="1:13" x14ac:dyDescent="0.2">
      <c r="B5" t="s">
        <v>19</v>
      </c>
      <c r="C5" t="s">
        <v>20</v>
      </c>
      <c r="D5" t="s">
        <v>21</v>
      </c>
      <c r="E5" t="s">
        <v>22</v>
      </c>
    </row>
    <row r="6" spans="1:13" x14ac:dyDescent="0.2">
      <c r="A6" t="s">
        <v>8</v>
      </c>
      <c r="B6" s="3">
        <v>220.49319199999999</v>
      </c>
      <c r="C6" s="3">
        <v>1019.75143</v>
      </c>
      <c r="D6" s="3">
        <v>1099.06143</v>
      </c>
      <c r="E6" s="3">
        <v>1263.02225</v>
      </c>
    </row>
    <row r="7" spans="1:13" x14ac:dyDescent="0.2">
      <c r="A7" t="s">
        <v>9</v>
      </c>
      <c r="B7" s="3">
        <v>519.32400700000005</v>
      </c>
      <c r="C7" s="3">
        <v>1155.2343100000001</v>
      </c>
      <c r="D7" s="3">
        <v>440.47644400000001</v>
      </c>
      <c r="E7" s="3">
        <v>1856.5320200000001</v>
      </c>
    </row>
    <row r="8" spans="1:13" x14ac:dyDescent="0.2">
      <c r="A8" t="s">
        <v>10</v>
      </c>
      <c r="B8" s="3">
        <v>962.97049100000004</v>
      </c>
      <c r="C8" s="3">
        <v>149.866636</v>
      </c>
      <c r="D8" s="3">
        <v>1675.98143</v>
      </c>
      <c r="E8" s="3">
        <v>2091.80017</v>
      </c>
    </row>
    <row r="10" spans="1:13" x14ac:dyDescent="0.2"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</row>
    <row r="11" spans="1:13" x14ac:dyDescent="0.2">
      <c r="A11" t="s">
        <v>19</v>
      </c>
      <c r="B11" s="3">
        <v>1280.7990199999999</v>
      </c>
      <c r="C11" s="3">
        <v>1831.83339</v>
      </c>
      <c r="D11" s="3">
        <v>1480.01845</v>
      </c>
      <c r="E11" s="3">
        <v>1291.8657499999999</v>
      </c>
      <c r="F11" s="3">
        <v>361.84678400000001</v>
      </c>
      <c r="G11" s="3">
        <v>1185.02241</v>
      </c>
      <c r="H11" s="3">
        <v>934.02313500000002</v>
      </c>
      <c r="I11" s="3">
        <v>557.31895899999995</v>
      </c>
      <c r="J11" s="3">
        <v>769.99873300000002</v>
      </c>
      <c r="K11" s="3">
        <v>2148.6587500000001</v>
      </c>
      <c r="L11" s="3">
        <v>2316.5231899999999</v>
      </c>
      <c r="M11" s="3">
        <v>1590.5757900000001</v>
      </c>
    </row>
    <row r="12" spans="1:13" x14ac:dyDescent="0.2">
      <c r="A12" t="s">
        <v>20</v>
      </c>
      <c r="B12" s="3">
        <v>416.56545699999998</v>
      </c>
      <c r="C12" s="3">
        <v>2530.90245</v>
      </c>
      <c r="D12" s="3">
        <v>2141.5278499999999</v>
      </c>
      <c r="E12" s="3">
        <v>564.91897100000006</v>
      </c>
      <c r="F12" s="3">
        <v>675.90874699999995</v>
      </c>
      <c r="G12" s="3">
        <v>312.09291200000001</v>
      </c>
      <c r="H12" s="3">
        <v>172.38078300000001</v>
      </c>
      <c r="I12" s="3">
        <v>622.62840600000004</v>
      </c>
      <c r="J12" s="3">
        <v>1497.87247</v>
      </c>
      <c r="K12" s="3">
        <v>1388.1726100000001</v>
      </c>
      <c r="L12" s="3">
        <v>1586.1347900000001</v>
      </c>
      <c r="M12" s="3">
        <v>1984.94219</v>
      </c>
    </row>
    <row r="13" spans="1:13" x14ac:dyDescent="0.2">
      <c r="A13" t="s">
        <v>21</v>
      </c>
      <c r="B13" s="3">
        <v>1980.3791900000001</v>
      </c>
      <c r="C13" s="3">
        <v>2361.1644700000002</v>
      </c>
      <c r="D13" s="3">
        <v>2103.7152599999999</v>
      </c>
      <c r="E13" s="3">
        <v>2081.5314899999998</v>
      </c>
      <c r="F13" s="3">
        <v>1273.04423</v>
      </c>
      <c r="G13" s="3">
        <v>1702.8825099999999</v>
      </c>
      <c r="H13" s="3">
        <v>1665.1453899999999</v>
      </c>
      <c r="I13" s="3">
        <v>943.28114500000004</v>
      </c>
      <c r="J13" s="3">
        <v>222.38847799999999</v>
      </c>
      <c r="K13" s="3">
        <v>2940.4324900000001</v>
      </c>
      <c r="L13" s="3">
        <v>3129.52936</v>
      </c>
      <c r="M13" s="3">
        <v>713.93908599999997</v>
      </c>
    </row>
    <row r="14" spans="1:13" x14ac:dyDescent="0.2">
      <c r="A14" t="s">
        <v>22</v>
      </c>
      <c r="B14" s="3">
        <v>2319.27882</v>
      </c>
      <c r="C14" s="3">
        <v>392.73576100000002</v>
      </c>
      <c r="D14" s="3">
        <v>9.1108617400000007</v>
      </c>
      <c r="E14" s="3">
        <v>2163.5780500000001</v>
      </c>
      <c r="F14" s="3">
        <v>1496.75197</v>
      </c>
      <c r="G14" s="3">
        <v>2453.0090399999999</v>
      </c>
      <c r="H14" s="3">
        <v>2049.0579200000002</v>
      </c>
      <c r="I14" s="3">
        <v>2023.5485900000001</v>
      </c>
      <c r="J14" s="3">
        <v>1874.7082700000001</v>
      </c>
      <c r="K14" s="3">
        <v>2775.6073999999999</v>
      </c>
      <c r="L14" s="3">
        <v>2849.5451200000002</v>
      </c>
      <c r="M14" s="3">
        <v>2806.9366500000001</v>
      </c>
    </row>
    <row r="16" spans="1:13" x14ac:dyDescent="0.2">
      <c r="B16" t="s">
        <v>19</v>
      </c>
      <c r="C16" t="s">
        <v>20</v>
      </c>
      <c r="D16" t="s">
        <v>21</v>
      </c>
      <c r="E16" t="s">
        <v>22</v>
      </c>
    </row>
    <row r="17" spans="1:5" x14ac:dyDescent="0.2">
      <c r="A17" t="s">
        <v>53</v>
      </c>
      <c r="B17">
        <v>98.065420090407898</v>
      </c>
      <c r="C17">
        <v>819.022410170645</v>
      </c>
      <c r="D17">
        <v>988.03782801968202</v>
      </c>
      <c r="E17">
        <v>1530.47935919308</v>
      </c>
    </row>
    <row r="18" spans="1:5" x14ac:dyDescent="0.2">
      <c r="A18" t="s">
        <v>54</v>
      </c>
      <c r="B18">
        <v>367.877874525594</v>
      </c>
      <c r="C18">
        <v>1216.4843822021501</v>
      </c>
      <c r="D18">
        <v>1098.9173202546001</v>
      </c>
      <c r="E18">
        <v>1120.4841202078801</v>
      </c>
    </row>
    <row r="19" spans="1:5" x14ac:dyDescent="0.2">
      <c r="A19" t="s">
        <v>55</v>
      </c>
      <c r="B19">
        <v>1559.09817345998</v>
      </c>
      <c r="C19">
        <v>714.30198187844996</v>
      </c>
      <c r="D19">
        <v>1950.44679609537</v>
      </c>
      <c r="E19">
        <v>2855.2500719434802</v>
      </c>
    </row>
    <row r="20" spans="1:5" x14ac:dyDescent="0.2">
      <c r="A20" t="s">
        <v>56</v>
      </c>
      <c r="B20">
        <v>1266.1262677673999</v>
      </c>
      <c r="C20">
        <v>1758.7329724953199</v>
      </c>
      <c r="D20">
        <v>367.81425173509098</v>
      </c>
      <c r="E20">
        <v>2462.37046531326</v>
      </c>
    </row>
    <row r="21" spans="1:5" x14ac:dyDescent="0.2">
      <c r="A21" t="s">
        <v>57</v>
      </c>
      <c r="B21">
        <v>437.82381957224999</v>
      </c>
      <c r="C21">
        <v>1272.17724890417</v>
      </c>
      <c r="D21">
        <v>554.54740671752097</v>
      </c>
      <c r="E21">
        <v>1592.6403948331599</v>
      </c>
    </row>
    <row r="24" spans="1:5" x14ac:dyDescent="0.2">
      <c r="A24" s="1" t="s">
        <v>63</v>
      </c>
      <c r="B24" s="9" t="s">
        <v>8</v>
      </c>
      <c r="C24" s="9" t="s">
        <v>9</v>
      </c>
      <c r="D24" s="9" t="s">
        <v>10</v>
      </c>
    </row>
    <row r="25" spans="1:5" x14ac:dyDescent="0.2">
      <c r="A25" s="25" t="s">
        <v>12</v>
      </c>
      <c r="B25" t="s">
        <v>79</v>
      </c>
      <c r="C25" t="s">
        <v>79</v>
      </c>
      <c r="D25" t="s">
        <v>79</v>
      </c>
    </row>
    <row r="26" spans="1:5" x14ac:dyDescent="0.2">
      <c r="A26" s="25" t="s">
        <v>14</v>
      </c>
      <c r="B26" t="s">
        <v>79</v>
      </c>
      <c r="C26" t="s">
        <v>79</v>
      </c>
      <c r="D26" t="s">
        <v>79</v>
      </c>
    </row>
    <row r="29" spans="1:5" x14ac:dyDescent="0.2">
      <c r="A29" s="1" t="s">
        <v>63</v>
      </c>
      <c r="B29" s="10" t="s">
        <v>19</v>
      </c>
      <c r="C29" s="10" t="s">
        <v>20</v>
      </c>
      <c r="D29" s="10" t="s">
        <v>21</v>
      </c>
      <c r="E29" s="10" t="s">
        <v>22</v>
      </c>
    </row>
    <row r="30" spans="1:5" x14ac:dyDescent="0.2">
      <c r="A30" s="27" t="s">
        <v>8</v>
      </c>
      <c r="B30">
        <v>283.57459999999998</v>
      </c>
      <c r="C30">
        <v>1286.4165</v>
      </c>
      <c r="D30">
        <v>1362.1052</v>
      </c>
      <c r="E30">
        <v>1682.0897</v>
      </c>
    </row>
    <row r="31" spans="1:5" x14ac:dyDescent="0.2">
      <c r="A31" s="27" t="s">
        <v>9</v>
      </c>
      <c r="B31">
        <v>655.22719999999902</v>
      </c>
      <c r="C31">
        <v>1426.5703000000001</v>
      </c>
      <c r="D31">
        <v>540.0489</v>
      </c>
      <c r="E31">
        <v>2539.2773999999999</v>
      </c>
    </row>
    <row r="32" spans="1:5" x14ac:dyDescent="0.2">
      <c r="A32" s="27" t="s">
        <v>10</v>
      </c>
      <c r="B32">
        <v>1152.3353999999999</v>
      </c>
      <c r="C32">
        <v>157.0652</v>
      </c>
      <c r="D32">
        <v>2094.0954999999999</v>
      </c>
      <c r="E32">
        <v>2889.6354999999999</v>
      </c>
    </row>
    <row r="33" spans="1:13" x14ac:dyDescent="0.2">
      <c r="A33" s="21" t="s">
        <v>53</v>
      </c>
      <c r="B33">
        <v>120.673</v>
      </c>
      <c r="C33">
        <v>1055.277</v>
      </c>
      <c r="D33">
        <v>1292.3728999999901</v>
      </c>
      <c r="E33">
        <v>1979.7137</v>
      </c>
    </row>
    <row r="34" spans="1:13" x14ac:dyDescent="0.2">
      <c r="A34" s="21" t="s">
        <v>54</v>
      </c>
      <c r="B34">
        <v>464.79500000000002</v>
      </c>
      <c r="C34">
        <v>1511.2248</v>
      </c>
      <c r="D34">
        <v>1538.9049</v>
      </c>
      <c r="E34">
        <v>1461.1261999999999</v>
      </c>
    </row>
    <row r="35" spans="1:13" x14ac:dyDescent="0.2">
      <c r="A35" s="21" t="s">
        <v>55</v>
      </c>
      <c r="B35">
        <v>1957.3381999999999</v>
      </c>
      <c r="C35">
        <v>855.08460000000002</v>
      </c>
      <c r="D35">
        <v>2735.1374000000001</v>
      </c>
      <c r="E35">
        <v>3703.6586000000002</v>
      </c>
    </row>
    <row r="36" spans="1:13" x14ac:dyDescent="0.2">
      <c r="A36" s="21" t="s">
        <v>56</v>
      </c>
      <c r="B36">
        <v>1615.0483999999999</v>
      </c>
      <c r="C36">
        <v>3579.8420000000001</v>
      </c>
      <c r="D36">
        <v>406.91469999999998</v>
      </c>
      <c r="E36">
        <v>3392.9079999999999</v>
      </c>
    </row>
    <row r="37" spans="1:13" x14ac:dyDescent="0.2">
      <c r="A37" s="21" t="s">
        <v>57</v>
      </c>
      <c r="B37">
        <v>559.99469999999997</v>
      </c>
      <c r="C37">
        <v>1426.7084</v>
      </c>
      <c r="D37">
        <v>664.62980000000005</v>
      </c>
      <c r="E37">
        <v>2312.9658999999901</v>
      </c>
    </row>
    <row r="40" spans="1:13" x14ac:dyDescent="0.2">
      <c r="A40" s="1" t="s">
        <v>63</v>
      </c>
      <c r="B40" s="11" t="s">
        <v>25</v>
      </c>
      <c r="C40" s="11" t="s">
        <v>26</v>
      </c>
      <c r="D40" s="11" t="s">
        <v>27</v>
      </c>
      <c r="E40" s="11" t="s">
        <v>28</v>
      </c>
      <c r="F40" s="11" t="s">
        <v>29</v>
      </c>
      <c r="G40" s="11" t="s">
        <v>30</v>
      </c>
      <c r="H40" s="11" t="s">
        <v>31</v>
      </c>
      <c r="I40" s="11" t="s">
        <v>32</v>
      </c>
      <c r="J40" s="11" t="s">
        <v>33</v>
      </c>
      <c r="K40" s="11" t="s">
        <v>34</v>
      </c>
      <c r="L40" s="11" t="s">
        <v>35</v>
      </c>
      <c r="M40" s="11" t="s">
        <v>36</v>
      </c>
    </row>
    <row r="41" spans="1:13" x14ac:dyDescent="0.2">
      <c r="A41" s="28" t="s">
        <v>19</v>
      </c>
      <c r="B41">
        <v>1490.4829</v>
      </c>
      <c r="C41">
        <v>2651.3577999999902</v>
      </c>
      <c r="D41">
        <v>1926.7511</v>
      </c>
      <c r="E41">
        <v>1629.3367000000001</v>
      </c>
      <c r="F41">
        <v>499.1123</v>
      </c>
      <c r="G41">
        <v>1476.8573999999901</v>
      </c>
      <c r="H41">
        <v>1126.5368000000001</v>
      </c>
      <c r="I41">
        <v>757.14750000000004</v>
      </c>
      <c r="J41">
        <v>957.81029999999998</v>
      </c>
      <c r="K41">
        <v>2655.6288999999902</v>
      </c>
      <c r="L41">
        <v>2815.5151999999998</v>
      </c>
      <c r="M41">
        <v>3241.7808999999902</v>
      </c>
    </row>
    <row r="42" spans="1:13" x14ac:dyDescent="0.2">
      <c r="A42" s="28" t="s">
        <v>20</v>
      </c>
      <c r="B42">
        <v>522.65139999999997</v>
      </c>
      <c r="C42">
        <v>3650.8874000000001</v>
      </c>
      <c r="D42">
        <v>2926.2808</v>
      </c>
      <c r="E42">
        <v>661.50519999999995</v>
      </c>
      <c r="F42">
        <v>862.62419999999997</v>
      </c>
      <c r="G42">
        <v>376.52109999999999</v>
      </c>
      <c r="H42">
        <v>198.95500000000001</v>
      </c>
      <c r="I42">
        <v>737.48379999999997</v>
      </c>
      <c r="J42">
        <v>1843.174</v>
      </c>
      <c r="K42">
        <v>1741.4002</v>
      </c>
      <c r="L42">
        <v>1901.2865999999999</v>
      </c>
      <c r="M42">
        <v>3197.3615</v>
      </c>
    </row>
    <row r="43" spans="1:13" x14ac:dyDescent="0.2">
      <c r="A43" s="28" t="s">
        <v>21</v>
      </c>
      <c r="B43">
        <v>2425.3516</v>
      </c>
      <c r="C43">
        <v>3725.5347999999999</v>
      </c>
      <c r="D43">
        <v>3000.9281999999998</v>
      </c>
      <c r="E43">
        <v>2564.2053999999998</v>
      </c>
      <c r="F43">
        <v>1607.6742999999999</v>
      </c>
      <c r="G43">
        <v>2224.5360000000001</v>
      </c>
      <c r="H43">
        <v>2112.6426000000001</v>
      </c>
      <c r="I43">
        <v>1340.1551999999999</v>
      </c>
      <c r="J43">
        <v>259.6909</v>
      </c>
      <c r="K43">
        <v>3644.1003999999998</v>
      </c>
      <c r="L43">
        <v>3803.9867999999901</v>
      </c>
      <c r="M43">
        <v>809.4239</v>
      </c>
    </row>
    <row r="44" spans="1:13" x14ac:dyDescent="0.2">
      <c r="A44" s="28" t="s">
        <v>22</v>
      </c>
      <c r="B44">
        <v>3220.6667000000002</v>
      </c>
      <c r="C44">
        <v>1847.1787999999999</v>
      </c>
      <c r="D44">
        <v>11.972099999999999</v>
      </c>
      <c r="E44">
        <v>3046.5137999999902</v>
      </c>
      <c r="F44">
        <v>2033.0400999999999</v>
      </c>
      <c r="G44">
        <v>3216.3939</v>
      </c>
      <c r="H44">
        <v>2856.7206000000001</v>
      </c>
      <c r="I44">
        <v>2623.7366000000002</v>
      </c>
      <c r="J44">
        <v>2730.7902999999901</v>
      </c>
      <c r="K44">
        <v>4048.4632000000001</v>
      </c>
      <c r="L44">
        <v>4208.3495999999996</v>
      </c>
      <c r="M44">
        <v>5108.3700999999901</v>
      </c>
    </row>
    <row r="47" spans="1:13" x14ac:dyDescent="0.2">
      <c r="A47" s="1"/>
    </row>
    <row r="48" spans="1:13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F8FF-E806-6047-B742-D6E6E2CE67F2}">
  <sheetPr codeName="Лист8"/>
  <dimension ref="A1:E30"/>
  <sheetViews>
    <sheetView workbookViewId="0">
      <selection activeCell="G24" sqref="G24"/>
    </sheetView>
  </sheetViews>
  <sheetFormatPr baseColWidth="10" defaultColWidth="11" defaultRowHeight="16" x14ac:dyDescent="0.2"/>
  <cols>
    <col min="5" max="5" width="17.33203125" customWidth="1"/>
  </cols>
  <sheetData>
    <row r="1" spans="1:5" x14ac:dyDescent="0.2">
      <c r="A1" t="s">
        <v>12</v>
      </c>
      <c r="B1">
        <v>3.3436923080000001</v>
      </c>
      <c r="C1">
        <v>25.072134250000001</v>
      </c>
      <c r="D1">
        <v>121.679919</v>
      </c>
      <c r="E1" t="s">
        <v>80</v>
      </c>
    </row>
    <row r="2" spans="1:5" x14ac:dyDescent="0.2">
      <c r="A2" t="s">
        <v>14</v>
      </c>
      <c r="B2">
        <v>3.4233846149999998</v>
      </c>
      <c r="C2">
        <v>31.232343700000001</v>
      </c>
      <c r="D2">
        <v>121.4691024</v>
      </c>
      <c r="E2" t="s">
        <v>80</v>
      </c>
    </row>
    <row r="3" spans="1:5" x14ac:dyDescent="0.2">
      <c r="A3" t="s">
        <v>8</v>
      </c>
      <c r="B3">
        <v>6.5338846149999998</v>
      </c>
      <c r="C3">
        <v>48.110300000000002</v>
      </c>
      <c r="D3">
        <v>16.569600000000001</v>
      </c>
      <c r="E3" t="s">
        <v>81</v>
      </c>
    </row>
    <row r="4" spans="1:5" x14ac:dyDescent="0.2">
      <c r="A4" t="s">
        <v>9</v>
      </c>
      <c r="B4">
        <v>4.3022692310000004</v>
      </c>
      <c r="C4">
        <v>54.361699999999999</v>
      </c>
      <c r="D4">
        <v>18.651399999999999</v>
      </c>
      <c r="E4" t="s">
        <v>81</v>
      </c>
    </row>
    <row r="5" spans="1:5" x14ac:dyDescent="0.2">
      <c r="A5" t="s">
        <v>10</v>
      </c>
      <c r="B5">
        <v>5.6759230770000002</v>
      </c>
      <c r="C5">
        <v>49.009700000000002</v>
      </c>
      <c r="D5">
        <v>2.5478999999999998</v>
      </c>
      <c r="E5" t="s">
        <v>81</v>
      </c>
    </row>
    <row r="6" spans="1:5" x14ac:dyDescent="0.2">
      <c r="A6" t="s">
        <v>19</v>
      </c>
      <c r="B6">
        <v>4.7682692309999997</v>
      </c>
      <c r="C6">
        <v>50.029000000000003</v>
      </c>
      <c r="D6">
        <v>15.808999999999999</v>
      </c>
      <c r="E6" t="s">
        <v>82</v>
      </c>
    </row>
    <row r="7" spans="1:5" x14ac:dyDescent="0.2">
      <c r="A7" t="s">
        <v>19</v>
      </c>
      <c r="B7">
        <v>45000</v>
      </c>
      <c r="C7">
        <v>50.029000000000003</v>
      </c>
      <c r="D7">
        <v>15.808999999999999</v>
      </c>
      <c r="E7" t="s">
        <v>82</v>
      </c>
    </row>
    <row r="8" spans="1:5" x14ac:dyDescent="0.2">
      <c r="A8" t="s">
        <v>20</v>
      </c>
      <c r="B8">
        <v>5.6759230770000002</v>
      </c>
      <c r="C8">
        <v>50.334299999999999</v>
      </c>
      <c r="D8">
        <v>2.9289999999999998</v>
      </c>
      <c r="E8" t="s">
        <v>82</v>
      </c>
    </row>
    <row r="9" spans="1:5" x14ac:dyDescent="0.2">
      <c r="A9" t="s">
        <v>20</v>
      </c>
      <c r="B9">
        <v>150000</v>
      </c>
      <c r="C9">
        <v>50.334299999999999</v>
      </c>
      <c r="D9">
        <v>2.9289999999999998</v>
      </c>
      <c r="E9" t="s">
        <v>82</v>
      </c>
    </row>
    <row r="10" spans="1:5" x14ac:dyDescent="0.2">
      <c r="A10" t="s">
        <v>21</v>
      </c>
      <c r="B10">
        <v>4.4260384620000002</v>
      </c>
      <c r="C10">
        <v>56.896000000000001</v>
      </c>
      <c r="D10">
        <v>24.045999999999999</v>
      </c>
      <c r="E10" t="s">
        <v>82</v>
      </c>
    </row>
    <row r="11" spans="1:5" x14ac:dyDescent="0.2">
      <c r="A11" t="s">
        <v>21</v>
      </c>
      <c r="B11">
        <v>75000</v>
      </c>
      <c r="C11">
        <v>56.896000000000001</v>
      </c>
      <c r="D11">
        <v>24.045999999999999</v>
      </c>
      <c r="E11" t="s">
        <v>82</v>
      </c>
    </row>
    <row r="12" spans="1:5" x14ac:dyDescent="0.2">
      <c r="A12" t="s">
        <v>22</v>
      </c>
      <c r="B12">
        <v>7.0865</v>
      </c>
      <c r="C12">
        <v>38.043999999999997</v>
      </c>
      <c r="D12">
        <v>23.798999999999999</v>
      </c>
      <c r="E12" t="s">
        <v>82</v>
      </c>
    </row>
    <row r="13" spans="1:5" x14ac:dyDescent="0.2">
      <c r="A13" t="s">
        <v>22</v>
      </c>
      <c r="B13">
        <v>100000</v>
      </c>
      <c r="C13">
        <v>38.043999999999997</v>
      </c>
      <c r="D13">
        <v>23.798999999999999</v>
      </c>
      <c r="E13" t="s">
        <v>82</v>
      </c>
    </row>
    <row r="14" spans="1:5" x14ac:dyDescent="0.2">
      <c r="A14" t="s">
        <v>25</v>
      </c>
      <c r="B14">
        <v>7000</v>
      </c>
      <c r="C14">
        <v>47.9556915</v>
      </c>
      <c r="D14">
        <v>-1.495366</v>
      </c>
      <c r="E14" t="s">
        <v>83</v>
      </c>
    </row>
    <row r="15" spans="1:5" x14ac:dyDescent="0.2">
      <c r="A15" t="s">
        <v>26</v>
      </c>
      <c r="B15">
        <v>6000</v>
      </c>
      <c r="C15">
        <v>35.773417549999998</v>
      </c>
      <c r="D15">
        <v>27.18143074</v>
      </c>
      <c r="E15" t="s">
        <v>83</v>
      </c>
    </row>
    <row r="16" spans="1:5" x14ac:dyDescent="0.2">
      <c r="A16" t="s">
        <v>27</v>
      </c>
      <c r="B16">
        <v>114500</v>
      </c>
      <c r="C16">
        <v>37.983941199999997</v>
      </c>
      <c r="D16">
        <v>23.728305200000001</v>
      </c>
      <c r="E16" t="s">
        <v>83</v>
      </c>
    </row>
    <row r="17" spans="1:5" x14ac:dyDescent="0.2">
      <c r="A17" t="s">
        <v>28</v>
      </c>
      <c r="B17">
        <v>3000</v>
      </c>
      <c r="C17">
        <v>45.747956299999998</v>
      </c>
      <c r="D17">
        <v>-0.338561373</v>
      </c>
      <c r="E17" t="s">
        <v>83</v>
      </c>
    </row>
    <row r="18" spans="1:5" x14ac:dyDescent="0.2">
      <c r="A18" t="s">
        <v>29</v>
      </c>
      <c r="B18">
        <v>16500</v>
      </c>
      <c r="C18">
        <v>48.224243399999999</v>
      </c>
      <c r="D18">
        <v>11.6715263</v>
      </c>
      <c r="E18" t="s">
        <v>83</v>
      </c>
    </row>
    <row r="19" spans="1:5" x14ac:dyDescent="0.2">
      <c r="A19" t="s">
        <v>30</v>
      </c>
      <c r="B19">
        <v>6500</v>
      </c>
      <c r="C19">
        <v>51.783499399999997</v>
      </c>
      <c r="D19">
        <v>-0.89464405400000002</v>
      </c>
      <c r="E19" t="s">
        <v>83</v>
      </c>
    </row>
    <row r="20" spans="1:5" x14ac:dyDescent="0.2">
      <c r="A20" t="s">
        <v>31</v>
      </c>
      <c r="B20">
        <v>500</v>
      </c>
      <c r="C20">
        <v>48.785892099999998</v>
      </c>
      <c r="D20">
        <v>3.0292059</v>
      </c>
      <c r="E20" t="s">
        <v>83</v>
      </c>
    </row>
    <row r="21" spans="1:5" x14ac:dyDescent="0.2">
      <c r="A21" t="s">
        <v>32</v>
      </c>
      <c r="B21">
        <v>22000</v>
      </c>
      <c r="C21">
        <v>53.6736529</v>
      </c>
      <c r="D21">
        <v>10.2358999</v>
      </c>
      <c r="E21" t="s">
        <v>83</v>
      </c>
    </row>
    <row r="22" spans="1:5" x14ac:dyDescent="0.2">
      <c r="A22" t="s">
        <v>33</v>
      </c>
      <c r="B22">
        <v>13000</v>
      </c>
      <c r="C22">
        <v>54.898213900000002</v>
      </c>
      <c r="D22">
        <v>23.904481700000002</v>
      </c>
      <c r="E22" t="s">
        <v>83</v>
      </c>
    </row>
    <row r="23" spans="1:5" x14ac:dyDescent="0.2">
      <c r="A23" t="s">
        <v>34</v>
      </c>
      <c r="B23">
        <v>1000</v>
      </c>
      <c r="C23">
        <v>40.713449099999998</v>
      </c>
      <c r="D23">
        <v>-8.4825639000000006</v>
      </c>
      <c r="E23" t="s">
        <v>83</v>
      </c>
    </row>
    <row r="24" spans="1:5" x14ac:dyDescent="0.2">
      <c r="A24" t="s">
        <v>35</v>
      </c>
      <c r="B24">
        <v>44000</v>
      </c>
      <c r="C24">
        <v>38.8735511</v>
      </c>
      <c r="D24">
        <v>-9.0785503999999992</v>
      </c>
      <c r="E24" t="s">
        <v>83</v>
      </c>
    </row>
    <row r="25" spans="1:5" x14ac:dyDescent="0.2">
      <c r="A25" t="s">
        <v>36</v>
      </c>
      <c r="B25">
        <v>500</v>
      </c>
      <c r="C25">
        <v>63.246777700000003</v>
      </c>
      <c r="D25">
        <v>25.920916399999999</v>
      </c>
      <c r="E25" t="s">
        <v>83</v>
      </c>
    </row>
    <row r="26" spans="1:5" x14ac:dyDescent="0.2">
      <c r="A26" t="s">
        <v>53</v>
      </c>
      <c r="B26" t="s">
        <v>84</v>
      </c>
      <c r="C26">
        <v>50.075499999999998</v>
      </c>
      <c r="D26">
        <v>14.437799999999999</v>
      </c>
      <c r="E26" t="s">
        <v>85</v>
      </c>
    </row>
    <row r="27" spans="1:5" x14ac:dyDescent="0.2">
      <c r="A27" t="s">
        <v>54</v>
      </c>
      <c r="B27" t="s">
        <v>86</v>
      </c>
      <c r="C27">
        <v>47.497900000000001</v>
      </c>
      <c r="D27">
        <v>19.040199999999999</v>
      </c>
      <c r="E27" t="s">
        <v>85</v>
      </c>
    </row>
    <row r="28" spans="1:5" x14ac:dyDescent="0.2">
      <c r="A28" t="s">
        <v>55</v>
      </c>
      <c r="B28" t="s">
        <v>87</v>
      </c>
      <c r="C28">
        <v>53.349800000000002</v>
      </c>
      <c r="D28">
        <v>-6.2603</v>
      </c>
      <c r="E28" t="s">
        <v>85</v>
      </c>
    </row>
    <row r="29" spans="1:5" x14ac:dyDescent="0.2">
      <c r="A29" t="s">
        <v>56</v>
      </c>
      <c r="B29" t="s">
        <v>88</v>
      </c>
      <c r="C29">
        <v>60.169899999999998</v>
      </c>
      <c r="D29">
        <v>24.938400000000001</v>
      </c>
      <c r="E29" t="s">
        <v>85</v>
      </c>
    </row>
    <row r="30" spans="1:5" x14ac:dyDescent="0.2">
      <c r="A30" t="s">
        <v>57</v>
      </c>
      <c r="B30" t="s">
        <v>89</v>
      </c>
      <c r="C30">
        <v>52.229700000000001</v>
      </c>
      <c r="D30">
        <v>21.0122</v>
      </c>
      <c r="E30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DCC8-B857-3C45-8CB0-DD3D5BBF959A}">
  <sheetPr codeName="Лист1"/>
  <dimension ref="A3:AB195"/>
  <sheetViews>
    <sheetView zoomScale="50" workbookViewId="0">
      <selection activeCell="P30" sqref="P30"/>
    </sheetView>
  </sheetViews>
  <sheetFormatPr baseColWidth="10" defaultColWidth="11" defaultRowHeight="16" x14ac:dyDescent="0.2"/>
  <cols>
    <col min="1" max="1" width="17.83203125" customWidth="1"/>
    <col min="7" max="7" width="17.1640625" customWidth="1"/>
    <col min="8" max="8" width="13.83203125" customWidth="1"/>
    <col min="12" max="12" width="16.83203125" customWidth="1"/>
    <col min="14" max="14" width="11.33203125" customWidth="1"/>
    <col min="15" max="15" width="19.5" customWidth="1"/>
    <col min="17" max="17" width="18.5" customWidth="1"/>
  </cols>
  <sheetData>
    <row r="3" spans="1:27" x14ac:dyDescent="0.2">
      <c r="A3" s="1" t="s">
        <v>13</v>
      </c>
      <c r="L3" s="1" t="s">
        <v>142</v>
      </c>
      <c r="M3" s="1"/>
      <c r="N3" s="1"/>
      <c r="O3" s="1"/>
      <c r="P3" s="1"/>
      <c r="Q3" s="1"/>
      <c r="R3" s="1" t="s">
        <v>0</v>
      </c>
      <c r="S3" s="1" t="s">
        <v>1</v>
      </c>
      <c r="T3" s="1" t="s">
        <v>63</v>
      </c>
      <c r="W3" s="1"/>
      <c r="X3" s="1"/>
      <c r="Y3" s="1"/>
      <c r="Z3" s="1"/>
      <c r="AA3" s="1"/>
    </row>
    <row r="4" spans="1:27" x14ac:dyDescent="0.2">
      <c r="A4" s="2" t="s">
        <v>143</v>
      </c>
      <c r="B4" s="2" t="s">
        <v>144</v>
      </c>
      <c r="C4" s="2" t="s">
        <v>15</v>
      </c>
      <c r="D4" s="2" t="s">
        <v>145</v>
      </c>
      <c r="E4" s="2" t="s">
        <v>146</v>
      </c>
      <c r="F4" s="2" t="s">
        <v>147</v>
      </c>
      <c r="G4" s="2" t="s">
        <v>148</v>
      </c>
      <c r="H4" s="2" t="s">
        <v>149</v>
      </c>
      <c r="I4" s="2" t="s">
        <v>93</v>
      </c>
      <c r="J4" s="2" t="s">
        <v>150</v>
      </c>
      <c r="Q4" t="s">
        <v>4</v>
      </c>
      <c r="R4">
        <v>952</v>
      </c>
      <c r="S4">
        <v>24</v>
      </c>
      <c r="T4">
        <v>73</v>
      </c>
    </row>
    <row r="5" spans="1:27" x14ac:dyDescent="0.2">
      <c r="A5" t="s">
        <v>151</v>
      </c>
      <c r="B5" t="s">
        <v>152</v>
      </c>
      <c r="C5" t="s">
        <v>12</v>
      </c>
      <c r="E5">
        <v>0</v>
      </c>
      <c r="F5" t="s">
        <v>153</v>
      </c>
      <c r="G5">
        <v>0</v>
      </c>
      <c r="H5">
        <v>52</v>
      </c>
      <c r="I5" t="s">
        <v>154</v>
      </c>
      <c r="J5">
        <v>3.3436923080000001</v>
      </c>
      <c r="L5" t="s">
        <v>155</v>
      </c>
      <c r="M5">
        <v>25.072134250000001</v>
      </c>
      <c r="N5">
        <v>121.679919</v>
      </c>
      <c r="O5" t="s">
        <v>152</v>
      </c>
      <c r="Q5" t="s">
        <v>5</v>
      </c>
      <c r="R5">
        <v>1.14E-2</v>
      </c>
      <c r="S5">
        <v>1.6999999999999999E-3</v>
      </c>
      <c r="T5">
        <v>6.4999999999999997E-3</v>
      </c>
    </row>
    <row r="6" spans="1:27" x14ac:dyDescent="0.2">
      <c r="A6" t="s">
        <v>151</v>
      </c>
      <c r="B6" t="s">
        <v>152</v>
      </c>
      <c r="C6" t="s">
        <v>14</v>
      </c>
      <c r="E6">
        <v>0</v>
      </c>
      <c r="F6" t="s">
        <v>153</v>
      </c>
      <c r="G6">
        <v>0</v>
      </c>
      <c r="H6">
        <v>52</v>
      </c>
      <c r="I6" t="s">
        <v>154</v>
      </c>
      <c r="J6">
        <v>3.4233846149999998</v>
      </c>
      <c r="L6" t="s">
        <v>104</v>
      </c>
      <c r="M6">
        <v>31.232343700000001</v>
      </c>
      <c r="N6">
        <v>121.4691024</v>
      </c>
      <c r="O6" t="s">
        <v>152</v>
      </c>
    </row>
    <row r="8" spans="1:27" x14ac:dyDescent="0.2">
      <c r="A8" s="1" t="s">
        <v>23</v>
      </c>
    </row>
    <row r="9" spans="1:27" x14ac:dyDescent="0.2">
      <c r="A9" s="2" t="s">
        <v>143</v>
      </c>
      <c r="B9" s="2" t="s">
        <v>144</v>
      </c>
      <c r="C9" s="2" t="s">
        <v>15</v>
      </c>
      <c r="D9" s="2" t="s">
        <v>145</v>
      </c>
      <c r="E9" s="2" t="s">
        <v>146</v>
      </c>
      <c r="F9" s="2" t="s">
        <v>147</v>
      </c>
      <c r="G9" s="2" t="s">
        <v>148</v>
      </c>
      <c r="H9" s="2" t="s">
        <v>149</v>
      </c>
      <c r="I9" s="2" t="s">
        <v>93</v>
      </c>
      <c r="J9" s="2" t="s">
        <v>150</v>
      </c>
      <c r="L9" s="1"/>
      <c r="Q9" t="s">
        <v>156</v>
      </c>
    </row>
    <row r="10" spans="1:27" x14ac:dyDescent="0.2">
      <c r="A10" t="s">
        <v>157</v>
      </c>
      <c r="B10" t="s">
        <v>158</v>
      </c>
      <c r="C10" t="s">
        <v>8</v>
      </c>
      <c r="E10">
        <v>0</v>
      </c>
      <c r="F10" t="s">
        <v>153</v>
      </c>
      <c r="G10">
        <v>0</v>
      </c>
      <c r="H10">
        <v>52</v>
      </c>
      <c r="I10" t="s">
        <v>154</v>
      </c>
      <c r="J10">
        <v>6.5338846149999998</v>
      </c>
      <c r="L10" t="s">
        <v>159</v>
      </c>
      <c r="M10">
        <v>48.110300000000002</v>
      </c>
      <c r="N10">
        <v>16.569600000000001</v>
      </c>
      <c r="O10" t="s">
        <v>158</v>
      </c>
      <c r="Q10" s="16" t="s">
        <v>143</v>
      </c>
      <c r="R10" s="16" t="s">
        <v>144</v>
      </c>
      <c r="S10" s="16" t="s">
        <v>15</v>
      </c>
      <c r="T10" s="16" t="s">
        <v>93</v>
      </c>
      <c r="U10" s="16" t="s">
        <v>150</v>
      </c>
      <c r="V10" s="16"/>
      <c r="W10" s="16"/>
      <c r="X10" s="16"/>
    </row>
    <row r="11" spans="1:27" x14ac:dyDescent="0.2">
      <c r="A11" t="s">
        <v>157</v>
      </c>
      <c r="B11" t="s">
        <v>158</v>
      </c>
      <c r="C11" t="s">
        <v>9</v>
      </c>
      <c r="E11">
        <v>0</v>
      </c>
      <c r="F11" t="s">
        <v>153</v>
      </c>
      <c r="G11">
        <v>0</v>
      </c>
      <c r="H11">
        <v>52</v>
      </c>
      <c r="I11" t="s">
        <v>154</v>
      </c>
      <c r="J11">
        <v>4.3022692310000004</v>
      </c>
      <c r="L11" t="s">
        <v>108</v>
      </c>
      <c r="M11">
        <v>54.361699999999999</v>
      </c>
      <c r="N11">
        <v>18.651399999999999</v>
      </c>
      <c r="O11" t="s">
        <v>158</v>
      </c>
      <c r="Q11" s="17" t="s">
        <v>50</v>
      </c>
      <c r="R11" s="17" t="s">
        <v>85</v>
      </c>
      <c r="S11" s="17" t="s">
        <v>54</v>
      </c>
      <c r="T11" s="17" t="s">
        <v>160</v>
      </c>
      <c r="U11" s="17">
        <v>7000000</v>
      </c>
    </row>
    <row r="12" spans="1:27" x14ac:dyDescent="0.2">
      <c r="A12" t="s">
        <v>157</v>
      </c>
      <c r="B12" t="s">
        <v>158</v>
      </c>
      <c r="C12" t="s">
        <v>10</v>
      </c>
      <c r="E12">
        <v>0</v>
      </c>
      <c r="F12" t="s">
        <v>153</v>
      </c>
      <c r="G12">
        <v>0</v>
      </c>
      <c r="H12">
        <v>52</v>
      </c>
      <c r="I12" t="s">
        <v>154</v>
      </c>
      <c r="J12">
        <v>5.6759230770000002</v>
      </c>
      <c r="L12" t="s">
        <v>161</v>
      </c>
      <c r="M12">
        <v>49.009700000000002</v>
      </c>
      <c r="N12">
        <v>2.5478999999999998</v>
      </c>
      <c r="O12" t="s">
        <v>158</v>
      </c>
      <c r="Q12" s="17" t="s">
        <v>50</v>
      </c>
      <c r="R12" s="17" t="s">
        <v>85</v>
      </c>
      <c r="S12" s="17" t="s">
        <v>55</v>
      </c>
      <c r="T12" s="17" t="s">
        <v>160</v>
      </c>
      <c r="U12" s="17">
        <v>7000000</v>
      </c>
    </row>
    <row r="13" spans="1:27" x14ac:dyDescent="0.2">
      <c r="Q13" s="17" t="s">
        <v>50</v>
      </c>
      <c r="R13" s="17" t="s">
        <v>85</v>
      </c>
      <c r="S13" s="17" t="s">
        <v>53</v>
      </c>
      <c r="T13" s="17" t="s">
        <v>160</v>
      </c>
      <c r="U13" s="17">
        <v>7000000</v>
      </c>
    </row>
    <row r="14" spans="1:27" x14ac:dyDescent="0.2">
      <c r="A14" s="1" t="s">
        <v>37</v>
      </c>
      <c r="Q14" s="17" t="s">
        <v>50</v>
      </c>
      <c r="R14" s="17" t="s">
        <v>85</v>
      </c>
      <c r="S14" s="17" t="s">
        <v>57</v>
      </c>
      <c r="T14" s="17" t="s">
        <v>160</v>
      </c>
      <c r="U14" s="17">
        <v>7000000</v>
      </c>
    </row>
    <row r="15" spans="1:27" x14ac:dyDescent="0.2">
      <c r="A15" t="s">
        <v>157</v>
      </c>
      <c r="B15" t="s">
        <v>162</v>
      </c>
      <c r="C15" t="s">
        <v>19</v>
      </c>
      <c r="E15">
        <v>0</v>
      </c>
      <c r="F15" t="s">
        <v>153</v>
      </c>
      <c r="G15">
        <v>0</v>
      </c>
      <c r="H15">
        <v>52</v>
      </c>
      <c r="I15" t="s">
        <v>154</v>
      </c>
      <c r="J15">
        <v>4.7682692309999997</v>
      </c>
      <c r="L15" t="s">
        <v>19</v>
      </c>
      <c r="M15">
        <v>50.029000000000003</v>
      </c>
      <c r="N15">
        <v>15.808999999999999</v>
      </c>
      <c r="O15" t="s">
        <v>163</v>
      </c>
      <c r="Q15" s="17" t="s">
        <v>50</v>
      </c>
      <c r="R15" s="17" t="s">
        <v>85</v>
      </c>
      <c r="S15" s="17" t="s">
        <v>56</v>
      </c>
      <c r="T15" s="17" t="s">
        <v>160</v>
      </c>
      <c r="U15" s="17">
        <v>7000000</v>
      </c>
    </row>
    <row r="16" spans="1:27" x14ac:dyDescent="0.2">
      <c r="A16" t="s">
        <v>164</v>
      </c>
      <c r="B16" t="s">
        <v>162</v>
      </c>
      <c r="C16" t="s">
        <v>19</v>
      </c>
      <c r="E16">
        <v>0</v>
      </c>
      <c r="F16" t="s">
        <v>153</v>
      </c>
      <c r="G16">
        <v>0</v>
      </c>
      <c r="H16">
        <v>52</v>
      </c>
      <c r="J16">
        <v>45000</v>
      </c>
      <c r="L16" t="s">
        <v>19</v>
      </c>
      <c r="M16">
        <v>50.029000000000003</v>
      </c>
      <c r="N16">
        <v>15.808999999999999</v>
      </c>
      <c r="O16" t="s">
        <v>163</v>
      </c>
      <c r="Q16" s="17"/>
      <c r="R16" s="17"/>
      <c r="S16" s="17"/>
      <c r="T16" s="17"/>
      <c r="U16" s="17"/>
    </row>
    <row r="17" spans="1:28" x14ac:dyDescent="0.2">
      <c r="A17" t="s">
        <v>157</v>
      </c>
      <c r="B17" t="s">
        <v>162</v>
      </c>
      <c r="C17" t="s">
        <v>20</v>
      </c>
      <c r="E17">
        <v>0</v>
      </c>
      <c r="F17" t="s">
        <v>153</v>
      </c>
      <c r="G17">
        <v>0</v>
      </c>
      <c r="H17">
        <v>52</v>
      </c>
      <c r="I17" t="s">
        <v>154</v>
      </c>
      <c r="J17">
        <v>5.6759230770000002</v>
      </c>
      <c r="L17" t="s">
        <v>20</v>
      </c>
      <c r="M17">
        <v>50.334299999999999</v>
      </c>
      <c r="N17">
        <v>2.9289999999999998</v>
      </c>
      <c r="O17" t="s">
        <v>163</v>
      </c>
      <c r="Q17" s="17" t="s">
        <v>165</v>
      </c>
      <c r="R17" s="17" t="s">
        <v>85</v>
      </c>
      <c r="S17" s="17" t="s">
        <v>54</v>
      </c>
      <c r="T17" s="17" t="s">
        <v>154</v>
      </c>
      <c r="U17" s="18">
        <v>4709615</v>
      </c>
    </row>
    <row r="18" spans="1:28" x14ac:dyDescent="0.2">
      <c r="A18" t="s">
        <v>164</v>
      </c>
      <c r="B18" t="s">
        <v>162</v>
      </c>
      <c r="C18" t="s">
        <v>20</v>
      </c>
      <c r="E18">
        <v>0</v>
      </c>
      <c r="F18" t="s">
        <v>153</v>
      </c>
      <c r="G18">
        <v>0</v>
      </c>
      <c r="H18">
        <v>52</v>
      </c>
      <c r="J18">
        <v>150000</v>
      </c>
      <c r="L18" t="s">
        <v>20</v>
      </c>
      <c r="M18">
        <v>50.334299999999999</v>
      </c>
      <c r="N18">
        <v>2.9289999999999998</v>
      </c>
      <c r="O18" t="s">
        <v>163</v>
      </c>
      <c r="Q18" s="17" t="s">
        <v>165</v>
      </c>
      <c r="R18" s="17" t="s">
        <v>85</v>
      </c>
      <c r="S18" s="17" t="s">
        <v>55</v>
      </c>
      <c r="T18" s="17" t="s">
        <v>154</v>
      </c>
      <c r="U18" s="18">
        <v>7926308</v>
      </c>
    </row>
    <row r="19" spans="1:28" x14ac:dyDescent="0.2">
      <c r="A19" t="s">
        <v>157</v>
      </c>
      <c r="B19" t="s">
        <v>162</v>
      </c>
      <c r="C19" t="s">
        <v>21</v>
      </c>
      <c r="E19">
        <v>0</v>
      </c>
      <c r="F19" t="s">
        <v>153</v>
      </c>
      <c r="G19">
        <v>0</v>
      </c>
      <c r="H19">
        <v>52</v>
      </c>
      <c r="I19" t="s">
        <v>154</v>
      </c>
      <c r="J19">
        <v>4.4260384620000002</v>
      </c>
      <c r="L19" t="s">
        <v>21</v>
      </c>
      <c r="M19">
        <v>56.896000000000001</v>
      </c>
      <c r="N19">
        <v>24.045999999999999</v>
      </c>
      <c r="O19" t="s">
        <v>163</v>
      </c>
      <c r="Q19" s="17" t="s">
        <v>165</v>
      </c>
      <c r="R19" s="17" t="s">
        <v>85</v>
      </c>
      <c r="S19" s="17" t="s">
        <v>53</v>
      </c>
      <c r="T19" s="17" t="s">
        <v>154</v>
      </c>
      <c r="U19" s="18">
        <v>4768269</v>
      </c>
    </row>
    <row r="20" spans="1:28" x14ac:dyDescent="0.2">
      <c r="A20" t="s">
        <v>164</v>
      </c>
      <c r="B20" t="s">
        <v>162</v>
      </c>
      <c r="C20" t="s">
        <v>21</v>
      </c>
      <c r="E20">
        <v>0</v>
      </c>
      <c r="F20" t="s">
        <v>153</v>
      </c>
      <c r="G20">
        <v>0</v>
      </c>
      <c r="H20">
        <v>52</v>
      </c>
      <c r="J20">
        <v>75000</v>
      </c>
      <c r="L20" t="s">
        <v>21</v>
      </c>
      <c r="M20">
        <v>56.896000000000001</v>
      </c>
      <c r="N20">
        <v>24.045999999999999</v>
      </c>
      <c r="O20" t="s">
        <v>163</v>
      </c>
      <c r="Q20" s="17" t="s">
        <v>165</v>
      </c>
      <c r="R20" s="17" t="s">
        <v>85</v>
      </c>
      <c r="S20" s="17" t="s">
        <v>57</v>
      </c>
      <c r="T20" s="17" t="s">
        <v>154</v>
      </c>
      <c r="U20" s="18">
        <v>4302269</v>
      </c>
    </row>
    <row r="21" spans="1:28" x14ac:dyDescent="0.2">
      <c r="A21" t="s">
        <v>157</v>
      </c>
      <c r="B21" t="s">
        <v>162</v>
      </c>
      <c r="C21" t="s">
        <v>22</v>
      </c>
      <c r="E21">
        <v>0</v>
      </c>
      <c r="F21" t="s">
        <v>153</v>
      </c>
      <c r="G21">
        <v>0</v>
      </c>
      <c r="H21">
        <v>52</v>
      </c>
      <c r="I21" t="s">
        <v>154</v>
      </c>
      <c r="J21">
        <v>7.0865</v>
      </c>
      <c r="L21" t="s">
        <v>22</v>
      </c>
      <c r="M21">
        <v>38.043999999999997</v>
      </c>
      <c r="N21">
        <v>23.798999999999999</v>
      </c>
      <c r="O21" t="s">
        <v>163</v>
      </c>
      <c r="Q21" s="17" t="s">
        <v>165</v>
      </c>
      <c r="R21" s="17" t="s">
        <v>85</v>
      </c>
      <c r="S21" s="17" t="s">
        <v>56</v>
      </c>
      <c r="T21" s="17" t="s">
        <v>154</v>
      </c>
      <c r="U21" s="18">
        <v>4841308</v>
      </c>
    </row>
    <row r="22" spans="1:28" x14ac:dyDescent="0.2">
      <c r="A22" t="s">
        <v>164</v>
      </c>
      <c r="B22" t="s">
        <v>162</v>
      </c>
      <c r="C22" t="s">
        <v>22</v>
      </c>
      <c r="E22">
        <v>0</v>
      </c>
      <c r="F22" t="s">
        <v>153</v>
      </c>
      <c r="G22">
        <v>0</v>
      </c>
      <c r="H22">
        <v>52</v>
      </c>
      <c r="J22">
        <v>100000</v>
      </c>
      <c r="L22" t="s">
        <v>22</v>
      </c>
      <c r="M22">
        <v>38.043999999999997</v>
      </c>
      <c r="N22">
        <v>23.798999999999999</v>
      </c>
      <c r="O22" t="s">
        <v>163</v>
      </c>
      <c r="Q22" t="s">
        <v>143</v>
      </c>
      <c r="R22" t="s">
        <v>144</v>
      </c>
      <c r="S22" t="s">
        <v>15</v>
      </c>
      <c r="T22" t="s">
        <v>93</v>
      </c>
      <c r="U22" t="s">
        <v>150</v>
      </c>
    </row>
    <row r="23" spans="1:28" x14ac:dyDescent="0.2">
      <c r="Q23" s="19" t="s">
        <v>52</v>
      </c>
      <c r="R23" s="19" t="s">
        <v>85</v>
      </c>
      <c r="S23" s="19" t="s">
        <v>54</v>
      </c>
      <c r="T23" s="19" t="s">
        <v>160</v>
      </c>
      <c r="U23" s="19">
        <v>1500000</v>
      </c>
      <c r="AB23" s="16"/>
    </row>
    <row r="24" spans="1:28" x14ac:dyDescent="0.2">
      <c r="A24" s="1" t="s">
        <v>40</v>
      </c>
      <c r="Q24" s="19" t="s">
        <v>52</v>
      </c>
      <c r="R24" s="19" t="s">
        <v>85</v>
      </c>
      <c r="S24" s="19" t="s">
        <v>55</v>
      </c>
      <c r="T24" s="19" t="s">
        <v>160</v>
      </c>
      <c r="U24" s="19">
        <v>1500000</v>
      </c>
      <c r="AB24" s="16"/>
    </row>
    <row r="25" spans="1:28" x14ac:dyDescent="0.2">
      <c r="A25" t="s">
        <v>3</v>
      </c>
      <c r="B25" t="s">
        <v>83</v>
      </c>
      <c r="C25" t="s">
        <v>25</v>
      </c>
      <c r="E25">
        <v>0</v>
      </c>
      <c r="F25" t="s">
        <v>153</v>
      </c>
      <c r="G25">
        <v>6</v>
      </c>
      <c r="H25">
        <v>7</v>
      </c>
      <c r="J25">
        <v>1000</v>
      </c>
      <c r="L25" t="s">
        <v>25</v>
      </c>
      <c r="M25">
        <v>47.9556915</v>
      </c>
      <c r="N25">
        <v>-1.495366</v>
      </c>
      <c r="O25" t="s">
        <v>83</v>
      </c>
      <c r="Q25" s="19" t="s">
        <v>52</v>
      </c>
      <c r="R25" s="19" t="s">
        <v>85</v>
      </c>
      <c r="S25" s="19" t="s">
        <v>53</v>
      </c>
      <c r="T25" s="19" t="s">
        <v>160</v>
      </c>
      <c r="U25" s="19">
        <v>1500000</v>
      </c>
      <c r="AB25" s="16"/>
    </row>
    <row r="26" spans="1:28" x14ac:dyDescent="0.2">
      <c r="A26" t="s">
        <v>3</v>
      </c>
      <c r="B26" t="s">
        <v>83</v>
      </c>
      <c r="C26" t="s">
        <v>25</v>
      </c>
      <c r="E26">
        <v>0</v>
      </c>
      <c r="F26" t="s">
        <v>153</v>
      </c>
      <c r="G26">
        <v>9</v>
      </c>
      <c r="H26">
        <v>10</v>
      </c>
      <c r="J26">
        <v>1000</v>
      </c>
      <c r="L26" t="s">
        <v>25</v>
      </c>
      <c r="M26">
        <v>47.9556915</v>
      </c>
      <c r="N26">
        <v>-1.495366</v>
      </c>
      <c r="O26" t="s">
        <v>83</v>
      </c>
      <c r="Q26" s="19" t="s">
        <v>52</v>
      </c>
      <c r="R26" s="19" t="s">
        <v>85</v>
      </c>
      <c r="S26" s="19" t="s">
        <v>57</v>
      </c>
      <c r="T26" s="19" t="s">
        <v>160</v>
      </c>
      <c r="U26" s="19">
        <v>1500000</v>
      </c>
      <c r="AB26" s="16"/>
    </row>
    <row r="27" spans="1:28" x14ac:dyDescent="0.2">
      <c r="A27" t="s">
        <v>3</v>
      </c>
      <c r="B27" t="s">
        <v>83</v>
      </c>
      <c r="C27" t="s">
        <v>25</v>
      </c>
      <c r="E27">
        <v>0</v>
      </c>
      <c r="F27" t="s">
        <v>153</v>
      </c>
      <c r="G27">
        <v>12</v>
      </c>
      <c r="H27">
        <v>13</v>
      </c>
      <c r="J27">
        <v>500</v>
      </c>
      <c r="L27" t="s">
        <v>25</v>
      </c>
      <c r="M27">
        <v>47.9556915</v>
      </c>
      <c r="N27">
        <v>-1.495366</v>
      </c>
      <c r="O27" t="s">
        <v>83</v>
      </c>
      <c r="Q27" s="19" t="s">
        <v>52</v>
      </c>
      <c r="R27" s="19" t="s">
        <v>85</v>
      </c>
      <c r="S27" s="19" t="s">
        <v>55</v>
      </c>
      <c r="T27" s="19" t="s">
        <v>160</v>
      </c>
      <c r="U27" s="19">
        <v>1500000</v>
      </c>
      <c r="AB27" s="16"/>
    </row>
    <row r="28" spans="1:28" x14ac:dyDescent="0.2">
      <c r="A28" t="s">
        <v>3</v>
      </c>
      <c r="B28" t="s">
        <v>83</v>
      </c>
      <c r="C28" t="s">
        <v>25</v>
      </c>
      <c r="E28">
        <v>0</v>
      </c>
      <c r="F28" t="s">
        <v>153</v>
      </c>
      <c r="G28">
        <v>13</v>
      </c>
      <c r="H28">
        <v>14</v>
      </c>
      <c r="J28">
        <v>2000</v>
      </c>
      <c r="L28" t="s">
        <v>25</v>
      </c>
      <c r="M28">
        <v>47.9556915</v>
      </c>
      <c r="N28">
        <v>-1.495366</v>
      </c>
      <c r="O28" t="s">
        <v>83</v>
      </c>
    </row>
    <row r="29" spans="1:28" x14ac:dyDescent="0.2">
      <c r="A29" t="s">
        <v>3</v>
      </c>
      <c r="B29" t="s">
        <v>83</v>
      </c>
      <c r="C29" t="s">
        <v>25</v>
      </c>
      <c r="E29">
        <v>0</v>
      </c>
      <c r="F29" t="s">
        <v>153</v>
      </c>
      <c r="G29">
        <v>14</v>
      </c>
      <c r="H29">
        <v>15</v>
      </c>
      <c r="J29">
        <v>1000</v>
      </c>
      <c r="L29" t="s">
        <v>25</v>
      </c>
      <c r="M29">
        <v>47.9556915</v>
      </c>
      <c r="N29">
        <v>-1.495366</v>
      </c>
      <c r="O29" t="s">
        <v>83</v>
      </c>
      <c r="Q29" t="s">
        <v>143</v>
      </c>
      <c r="R29" t="s">
        <v>144</v>
      </c>
      <c r="S29" t="s">
        <v>15</v>
      </c>
      <c r="U29" t="s">
        <v>150</v>
      </c>
    </row>
    <row r="30" spans="1:28" x14ac:dyDescent="0.2">
      <c r="A30" t="s">
        <v>3</v>
      </c>
      <c r="B30" t="s">
        <v>83</v>
      </c>
      <c r="C30" t="s">
        <v>25</v>
      </c>
      <c r="E30">
        <v>0</v>
      </c>
      <c r="F30" t="s">
        <v>153</v>
      </c>
      <c r="G30">
        <v>44</v>
      </c>
      <c r="H30">
        <v>45</v>
      </c>
      <c r="J30">
        <v>1500</v>
      </c>
      <c r="L30" t="s">
        <v>25</v>
      </c>
      <c r="M30">
        <v>47.9556915</v>
      </c>
      <c r="N30">
        <v>-1.495366</v>
      </c>
      <c r="O30" t="s">
        <v>83</v>
      </c>
      <c r="Q30" s="19" t="s">
        <v>164</v>
      </c>
      <c r="R30" s="19" t="s">
        <v>85</v>
      </c>
      <c r="S30" s="19" t="s">
        <v>57</v>
      </c>
      <c r="T30" s="19"/>
      <c r="U30" s="19">
        <v>45000</v>
      </c>
    </row>
    <row r="31" spans="1:28" x14ac:dyDescent="0.2">
      <c r="A31" t="s">
        <v>166</v>
      </c>
      <c r="B31" t="s">
        <v>83</v>
      </c>
      <c r="C31" t="s">
        <v>25</v>
      </c>
      <c r="E31">
        <v>0</v>
      </c>
      <c r="F31" t="s">
        <v>153</v>
      </c>
      <c r="G31">
        <v>0</v>
      </c>
      <c r="H31">
        <v>52</v>
      </c>
      <c r="I31" t="s">
        <v>154</v>
      </c>
      <c r="J31">
        <v>50000</v>
      </c>
      <c r="L31" t="s">
        <v>25</v>
      </c>
      <c r="M31">
        <v>47.9556915</v>
      </c>
      <c r="N31">
        <v>-1.495366</v>
      </c>
      <c r="O31" t="s">
        <v>83</v>
      </c>
      <c r="Q31" s="19" t="s">
        <v>164</v>
      </c>
      <c r="R31" s="19" t="s">
        <v>85</v>
      </c>
      <c r="S31" s="19" t="s">
        <v>54</v>
      </c>
      <c r="T31" s="19"/>
      <c r="U31" s="19">
        <v>50000</v>
      </c>
    </row>
    <row r="32" spans="1:28" x14ac:dyDescent="0.2">
      <c r="A32" t="s">
        <v>3</v>
      </c>
      <c r="B32" t="s">
        <v>83</v>
      </c>
      <c r="C32" t="s">
        <v>26</v>
      </c>
      <c r="E32">
        <v>0</v>
      </c>
      <c r="F32" t="s">
        <v>153</v>
      </c>
      <c r="G32">
        <v>2</v>
      </c>
      <c r="H32">
        <v>3</v>
      </c>
      <c r="J32">
        <v>3000</v>
      </c>
      <c r="L32" t="s">
        <v>26</v>
      </c>
      <c r="M32">
        <v>35.773417549999998</v>
      </c>
      <c r="N32">
        <v>27.18143074</v>
      </c>
      <c r="O32" t="s">
        <v>83</v>
      </c>
      <c r="Q32" s="19" t="s">
        <v>164</v>
      </c>
      <c r="R32" s="19" t="s">
        <v>85</v>
      </c>
      <c r="S32" s="19" t="s">
        <v>56</v>
      </c>
      <c r="T32" s="19"/>
      <c r="U32" s="19">
        <v>60000</v>
      </c>
    </row>
    <row r="33" spans="1:21" x14ac:dyDescent="0.2">
      <c r="A33" t="s">
        <v>3</v>
      </c>
      <c r="B33" t="s">
        <v>83</v>
      </c>
      <c r="C33" t="s">
        <v>26</v>
      </c>
      <c r="E33">
        <v>0</v>
      </c>
      <c r="F33" t="s">
        <v>153</v>
      </c>
      <c r="G33">
        <v>3</v>
      </c>
      <c r="H33">
        <v>4</v>
      </c>
      <c r="J33">
        <v>1500</v>
      </c>
      <c r="L33" t="s">
        <v>26</v>
      </c>
      <c r="M33">
        <v>35.773417549999998</v>
      </c>
      <c r="N33">
        <v>27.18143074</v>
      </c>
      <c r="O33" t="s">
        <v>83</v>
      </c>
      <c r="Q33" s="19" t="s">
        <v>164</v>
      </c>
      <c r="R33" s="19" t="s">
        <v>85</v>
      </c>
      <c r="S33" s="19" t="s">
        <v>55</v>
      </c>
      <c r="T33" s="19"/>
      <c r="U33" s="19">
        <v>20000</v>
      </c>
    </row>
    <row r="34" spans="1:21" x14ac:dyDescent="0.2">
      <c r="A34" t="s">
        <v>3</v>
      </c>
      <c r="B34" t="s">
        <v>83</v>
      </c>
      <c r="C34" t="s">
        <v>26</v>
      </c>
      <c r="E34">
        <v>0</v>
      </c>
      <c r="F34" t="s">
        <v>153</v>
      </c>
      <c r="G34">
        <v>4</v>
      </c>
      <c r="H34">
        <v>5</v>
      </c>
      <c r="J34">
        <v>1000</v>
      </c>
      <c r="L34" t="s">
        <v>26</v>
      </c>
      <c r="M34">
        <v>35.773417549999998</v>
      </c>
      <c r="N34">
        <v>27.18143074</v>
      </c>
      <c r="O34" t="s">
        <v>83</v>
      </c>
      <c r="Q34" s="19" t="s">
        <v>164</v>
      </c>
      <c r="R34" s="19" t="s">
        <v>85</v>
      </c>
      <c r="S34" s="19" t="s">
        <v>53</v>
      </c>
      <c r="T34" s="19"/>
      <c r="U34" s="19">
        <v>25000</v>
      </c>
    </row>
    <row r="35" spans="1:21" x14ac:dyDescent="0.2">
      <c r="A35" t="s">
        <v>3</v>
      </c>
      <c r="B35" t="s">
        <v>83</v>
      </c>
      <c r="C35" t="s">
        <v>26</v>
      </c>
      <c r="E35">
        <v>0</v>
      </c>
      <c r="F35" t="s">
        <v>153</v>
      </c>
      <c r="G35">
        <v>17</v>
      </c>
      <c r="H35">
        <v>18</v>
      </c>
      <c r="J35">
        <v>500</v>
      </c>
      <c r="L35" t="s">
        <v>26</v>
      </c>
      <c r="M35">
        <v>35.773417549999998</v>
      </c>
      <c r="N35">
        <v>27.18143074</v>
      </c>
      <c r="O35" t="s">
        <v>83</v>
      </c>
    </row>
    <row r="36" spans="1:21" x14ac:dyDescent="0.2">
      <c r="A36" t="s">
        <v>166</v>
      </c>
      <c r="B36" t="s">
        <v>83</v>
      </c>
      <c r="C36" t="s">
        <v>26</v>
      </c>
      <c r="E36">
        <v>0</v>
      </c>
      <c r="F36" t="s">
        <v>153</v>
      </c>
      <c r="G36">
        <v>0</v>
      </c>
      <c r="H36">
        <v>52</v>
      </c>
      <c r="I36" t="s">
        <v>154</v>
      </c>
      <c r="J36">
        <v>50000</v>
      </c>
      <c r="L36" t="s">
        <v>26</v>
      </c>
      <c r="M36">
        <v>35.773417549999998</v>
      </c>
      <c r="N36">
        <v>27.18143074</v>
      </c>
      <c r="O36" t="s">
        <v>83</v>
      </c>
      <c r="Q36" s="16" t="s">
        <v>167</v>
      </c>
      <c r="R36" s="16" t="s">
        <v>15</v>
      </c>
      <c r="S36" s="16" t="s">
        <v>91</v>
      </c>
      <c r="T36" s="16" t="s">
        <v>18</v>
      </c>
      <c r="U36" s="16" t="s">
        <v>168</v>
      </c>
    </row>
    <row r="37" spans="1:21" x14ac:dyDescent="0.2">
      <c r="A37" t="s">
        <v>3</v>
      </c>
      <c r="B37" t="s">
        <v>83</v>
      </c>
      <c r="C37" t="s">
        <v>27</v>
      </c>
      <c r="E37">
        <v>0</v>
      </c>
      <c r="F37" t="s">
        <v>153</v>
      </c>
      <c r="G37">
        <v>6</v>
      </c>
      <c r="H37">
        <v>7</v>
      </c>
      <c r="J37">
        <v>1500</v>
      </c>
      <c r="L37" t="s">
        <v>27</v>
      </c>
      <c r="M37">
        <v>37.983941199999997</v>
      </c>
      <c r="N37">
        <v>23.728305200000001</v>
      </c>
      <c r="O37" t="s">
        <v>83</v>
      </c>
      <c r="Q37" s="17" t="s">
        <v>53</v>
      </c>
      <c r="R37" s="17" t="s">
        <v>84</v>
      </c>
      <c r="S37" s="18">
        <v>500755</v>
      </c>
      <c r="T37" s="18">
        <v>144378</v>
      </c>
      <c r="U37" s="17" t="s">
        <v>85</v>
      </c>
    </row>
    <row r="38" spans="1:21" x14ac:dyDescent="0.2">
      <c r="A38" t="s">
        <v>3</v>
      </c>
      <c r="B38" t="s">
        <v>83</v>
      </c>
      <c r="C38" t="s">
        <v>27</v>
      </c>
      <c r="E38">
        <v>0</v>
      </c>
      <c r="F38" t="s">
        <v>153</v>
      </c>
      <c r="G38">
        <v>7</v>
      </c>
      <c r="H38">
        <v>8</v>
      </c>
      <c r="J38">
        <v>1000</v>
      </c>
      <c r="L38" t="s">
        <v>27</v>
      </c>
      <c r="M38">
        <v>37.983941199999997</v>
      </c>
      <c r="N38">
        <v>23.728305200000001</v>
      </c>
      <c r="O38" t="s">
        <v>83</v>
      </c>
      <c r="Q38" s="17" t="s">
        <v>55</v>
      </c>
      <c r="R38" s="17" t="s">
        <v>87</v>
      </c>
      <c r="S38" s="18">
        <v>533498</v>
      </c>
      <c r="T38" s="18">
        <v>-62603</v>
      </c>
      <c r="U38" s="17" t="s">
        <v>85</v>
      </c>
    </row>
    <row r="39" spans="1:21" x14ac:dyDescent="0.2">
      <c r="A39" t="s">
        <v>3</v>
      </c>
      <c r="B39" t="s">
        <v>83</v>
      </c>
      <c r="C39" t="s">
        <v>27</v>
      </c>
      <c r="E39">
        <v>0</v>
      </c>
      <c r="F39" t="s">
        <v>153</v>
      </c>
      <c r="G39">
        <v>9</v>
      </c>
      <c r="H39">
        <v>10</v>
      </c>
      <c r="J39">
        <v>2000</v>
      </c>
      <c r="L39" t="s">
        <v>27</v>
      </c>
      <c r="M39">
        <v>37.983941199999997</v>
      </c>
      <c r="N39">
        <v>23.728305200000001</v>
      </c>
      <c r="O39" t="s">
        <v>83</v>
      </c>
      <c r="Q39" s="17" t="s">
        <v>56</v>
      </c>
      <c r="R39" s="17" t="s">
        <v>88</v>
      </c>
      <c r="S39" s="18">
        <v>601699</v>
      </c>
      <c r="T39" s="18">
        <v>249384</v>
      </c>
      <c r="U39" s="17" t="s">
        <v>85</v>
      </c>
    </row>
    <row r="40" spans="1:21" x14ac:dyDescent="0.2">
      <c r="A40" t="s">
        <v>3</v>
      </c>
      <c r="B40" t="s">
        <v>83</v>
      </c>
      <c r="C40" t="s">
        <v>27</v>
      </c>
      <c r="E40">
        <v>0</v>
      </c>
      <c r="F40" t="s">
        <v>153</v>
      </c>
      <c r="G40">
        <v>10</v>
      </c>
      <c r="H40">
        <v>11</v>
      </c>
      <c r="J40">
        <v>5000</v>
      </c>
      <c r="L40" t="s">
        <v>27</v>
      </c>
      <c r="M40">
        <v>37.983941199999997</v>
      </c>
      <c r="N40">
        <v>23.728305200000001</v>
      </c>
      <c r="O40" t="s">
        <v>83</v>
      </c>
      <c r="Q40" s="17" t="s">
        <v>57</v>
      </c>
      <c r="R40" s="17" t="s">
        <v>89</v>
      </c>
      <c r="S40" s="18">
        <v>522297</v>
      </c>
      <c r="T40" s="18">
        <v>210122</v>
      </c>
      <c r="U40" s="17" t="s">
        <v>85</v>
      </c>
    </row>
    <row r="41" spans="1:21" x14ac:dyDescent="0.2">
      <c r="A41" t="s">
        <v>3</v>
      </c>
      <c r="B41" t="s">
        <v>83</v>
      </c>
      <c r="C41" t="s">
        <v>27</v>
      </c>
      <c r="E41">
        <v>0</v>
      </c>
      <c r="F41" t="s">
        <v>153</v>
      </c>
      <c r="G41">
        <v>11</v>
      </c>
      <c r="H41">
        <v>12</v>
      </c>
      <c r="J41">
        <v>7500</v>
      </c>
      <c r="L41" t="s">
        <v>27</v>
      </c>
      <c r="M41">
        <v>37.983941199999997</v>
      </c>
      <c r="N41">
        <v>23.728305200000001</v>
      </c>
      <c r="O41" t="s">
        <v>83</v>
      </c>
      <c r="Q41" s="17" t="s">
        <v>54</v>
      </c>
      <c r="R41" s="18" t="s">
        <v>86</v>
      </c>
      <c r="S41" s="17">
        <v>47.497900000000001</v>
      </c>
      <c r="T41" s="18">
        <v>19.040199999999999</v>
      </c>
      <c r="U41" s="17" t="s">
        <v>85</v>
      </c>
    </row>
    <row r="42" spans="1:21" x14ac:dyDescent="0.2">
      <c r="A42" t="s">
        <v>3</v>
      </c>
      <c r="B42" t="s">
        <v>83</v>
      </c>
      <c r="C42" t="s">
        <v>27</v>
      </c>
      <c r="E42">
        <v>0</v>
      </c>
      <c r="F42" t="s">
        <v>153</v>
      </c>
      <c r="G42">
        <v>13</v>
      </c>
      <c r="H42">
        <v>14</v>
      </c>
      <c r="J42">
        <v>1500</v>
      </c>
      <c r="L42" t="s">
        <v>27</v>
      </c>
      <c r="M42">
        <v>37.983941199999997</v>
      </c>
      <c r="N42">
        <v>23.728305200000001</v>
      </c>
      <c r="O42" t="s">
        <v>83</v>
      </c>
    </row>
    <row r="43" spans="1:21" x14ac:dyDescent="0.2">
      <c r="A43" t="s">
        <v>3</v>
      </c>
      <c r="B43" t="s">
        <v>83</v>
      </c>
      <c r="C43" t="s">
        <v>27</v>
      </c>
      <c r="E43">
        <v>0</v>
      </c>
      <c r="F43" t="s">
        <v>153</v>
      </c>
      <c r="G43">
        <v>14</v>
      </c>
      <c r="H43">
        <v>15</v>
      </c>
      <c r="J43">
        <v>7000</v>
      </c>
      <c r="L43" t="s">
        <v>27</v>
      </c>
      <c r="M43">
        <v>37.983941199999997</v>
      </c>
      <c r="N43">
        <v>23.728305200000001</v>
      </c>
      <c r="O43" t="s">
        <v>83</v>
      </c>
    </row>
    <row r="44" spans="1:21" x14ac:dyDescent="0.2">
      <c r="A44" t="s">
        <v>3</v>
      </c>
      <c r="B44" t="s">
        <v>83</v>
      </c>
      <c r="C44" t="s">
        <v>27</v>
      </c>
      <c r="E44">
        <v>0</v>
      </c>
      <c r="F44" t="s">
        <v>153</v>
      </c>
      <c r="G44">
        <v>15</v>
      </c>
      <c r="H44">
        <v>16</v>
      </c>
      <c r="J44">
        <v>1500</v>
      </c>
      <c r="L44" t="s">
        <v>27</v>
      </c>
      <c r="M44">
        <v>37.983941199999997</v>
      </c>
      <c r="N44">
        <v>23.728305200000001</v>
      </c>
      <c r="O44" t="s">
        <v>83</v>
      </c>
    </row>
    <row r="45" spans="1:21" x14ac:dyDescent="0.2">
      <c r="A45" t="s">
        <v>3</v>
      </c>
      <c r="B45" t="s">
        <v>83</v>
      </c>
      <c r="C45" t="s">
        <v>27</v>
      </c>
      <c r="E45">
        <v>0</v>
      </c>
      <c r="F45" t="s">
        <v>153</v>
      </c>
      <c r="G45">
        <v>17</v>
      </c>
      <c r="H45">
        <v>18</v>
      </c>
      <c r="J45">
        <v>1000</v>
      </c>
      <c r="L45" t="s">
        <v>27</v>
      </c>
      <c r="M45">
        <v>37.983941199999997</v>
      </c>
      <c r="N45">
        <v>23.728305200000001</v>
      </c>
      <c r="O45" t="s">
        <v>83</v>
      </c>
    </row>
    <row r="46" spans="1:21" x14ac:dyDescent="0.2">
      <c r="A46" t="s">
        <v>3</v>
      </c>
      <c r="B46" t="s">
        <v>83</v>
      </c>
      <c r="C46" t="s">
        <v>27</v>
      </c>
      <c r="E46">
        <v>0</v>
      </c>
      <c r="F46" t="s">
        <v>153</v>
      </c>
      <c r="G46">
        <v>18</v>
      </c>
      <c r="H46">
        <v>19</v>
      </c>
      <c r="J46">
        <v>6000</v>
      </c>
      <c r="L46" t="s">
        <v>27</v>
      </c>
      <c r="M46">
        <v>37.983941199999997</v>
      </c>
      <c r="N46">
        <v>23.728305200000001</v>
      </c>
      <c r="O46" t="s">
        <v>83</v>
      </c>
    </row>
    <row r="47" spans="1:21" x14ac:dyDescent="0.2">
      <c r="A47" t="s">
        <v>3</v>
      </c>
      <c r="B47" t="s">
        <v>83</v>
      </c>
      <c r="C47" t="s">
        <v>27</v>
      </c>
      <c r="E47">
        <v>0</v>
      </c>
      <c r="F47" t="s">
        <v>153</v>
      </c>
      <c r="G47">
        <v>19</v>
      </c>
      <c r="H47">
        <v>20</v>
      </c>
      <c r="J47">
        <v>6500</v>
      </c>
      <c r="L47" t="s">
        <v>27</v>
      </c>
      <c r="M47">
        <v>37.983941199999997</v>
      </c>
      <c r="N47">
        <v>23.728305200000001</v>
      </c>
      <c r="O47" t="s">
        <v>83</v>
      </c>
    </row>
    <row r="48" spans="1:21" x14ac:dyDescent="0.2">
      <c r="A48" t="s">
        <v>3</v>
      </c>
      <c r="B48" t="s">
        <v>83</v>
      </c>
      <c r="C48" t="s">
        <v>27</v>
      </c>
      <c r="E48">
        <v>0</v>
      </c>
      <c r="F48" t="s">
        <v>153</v>
      </c>
      <c r="G48">
        <v>20</v>
      </c>
      <c r="H48">
        <v>21</v>
      </c>
      <c r="J48">
        <v>500</v>
      </c>
      <c r="L48" t="s">
        <v>27</v>
      </c>
      <c r="M48">
        <v>37.983941199999997</v>
      </c>
      <c r="N48">
        <v>23.728305200000001</v>
      </c>
      <c r="O48" t="s">
        <v>83</v>
      </c>
    </row>
    <row r="49" spans="1:15" x14ac:dyDescent="0.2">
      <c r="A49" t="s">
        <v>3</v>
      </c>
      <c r="B49" t="s">
        <v>83</v>
      </c>
      <c r="C49" t="s">
        <v>27</v>
      </c>
      <c r="E49">
        <v>0</v>
      </c>
      <c r="F49" t="s">
        <v>153</v>
      </c>
      <c r="G49">
        <v>21</v>
      </c>
      <c r="H49">
        <v>22</v>
      </c>
      <c r="J49">
        <v>1500</v>
      </c>
      <c r="L49" t="s">
        <v>27</v>
      </c>
      <c r="M49">
        <v>37.983941199999997</v>
      </c>
      <c r="N49">
        <v>23.728305200000001</v>
      </c>
      <c r="O49" t="s">
        <v>83</v>
      </c>
    </row>
    <row r="50" spans="1:15" x14ac:dyDescent="0.2">
      <c r="A50" t="s">
        <v>3</v>
      </c>
      <c r="B50" t="s">
        <v>83</v>
      </c>
      <c r="C50" t="s">
        <v>27</v>
      </c>
      <c r="E50">
        <v>0</v>
      </c>
      <c r="F50" t="s">
        <v>153</v>
      </c>
      <c r="G50">
        <v>22</v>
      </c>
      <c r="H50">
        <v>23</v>
      </c>
      <c r="J50">
        <v>500</v>
      </c>
      <c r="L50" t="s">
        <v>27</v>
      </c>
      <c r="M50">
        <v>37.983941199999997</v>
      </c>
      <c r="N50">
        <v>23.728305200000001</v>
      </c>
      <c r="O50" t="s">
        <v>83</v>
      </c>
    </row>
    <row r="51" spans="1:15" x14ac:dyDescent="0.2">
      <c r="A51" t="s">
        <v>3</v>
      </c>
      <c r="B51" t="s">
        <v>83</v>
      </c>
      <c r="C51" t="s">
        <v>27</v>
      </c>
      <c r="E51">
        <v>0</v>
      </c>
      <c r="F51" t="s">
        <v>153</v>
      </c>
      <c r="G51">
        <v>23</v>
      </c>
      <c r="H51">
        <v>24</v>
      </c>
      <c r="J51">
        <v>500</v>
      </c>
      <c r="L51" t="s">
        <v>27</v>
      </c>
      <c r="M51">
        <v>37.983941199999997</v>
      </c>
      <c r="N51">
        <v>23.728305200000001</v>
      </c>
      <c r="O51" t="s">
        <v>83</v>
      </c>
    </row>
    <row r="52" spans="1:15" x14ac:dyDescent="0.2">
      <c r="A52" t="s">
        <v>3</v>
      </c>
      <c r="B52" t="s">
        <v>83</v>
      </c>
      <c r="C52" t="s">
        <v>27</v>
      </c>
      <c r="E52">
        <v>0</v>
      </c>
      <c r="F52" t="s">
        <v>153</v>
      </c>
      <c r="G52">
        <v>26</v>
      </c>
      <c r="H52">
        <v>27</v>
      </c>
      <c r="J52">
        <v>1000</v>
      </c>
      <c r="L52" t="s">
        <v>27</v>
      </c>
      <c r="M52">
        <v>37.983941199999997</v>
      </c>
      <c r="N52">
        <v>23.728305200000001</v>
      </c>
      <c r="O52" t="s">
        <v>83</v>
      </c>
    </row>
    <row r="53" spans="1:15" x14ac:dyDescent="0.2">
      <c r="A53" t="s">
        <v>3</v>
      </c>
      <c r="B53" t="s">
        <v>83</v>
      </c>
      <c r="C53" t="s">
        <v>27</v>
      </c>
      <c r="E53">
        <v>0</v>
      </c>
      <c r="F53" t="s">
        <v>153</v>
      </c>
      <c r="G53">
        <v>27</v>
      </c>
      <c r="H53">
        <v>28</v>
      </c>
      <c r="J53">
        <v>4000</v>
      </c>
      <c r="L53" t="s">
        <v>27</v>
      </c>
      <c r="M53">
        <v>37.983941199999997</v>
      </c>
      <c r="N53">
        <v>23.728305200000001</v>
      </c>
      <c r="O53" t="s">
        <v>83</v>
      </c>
    </row>
    <row r="54" spans="1:15" x14ac:dyDescent="0.2">
      <c r="A54" t="s">
        <v>3</v>
      </c>
      <c r="B54" t="s">
        <v>83</v>
      </c>
      <c r="C54" t="s">
        <v>27</v>
      </c>
      <c r="E54">
        <v>0</v>
      </c>
      <c r="F54" t="s">
        <v>153</v>
      </c>
      <c r="G54">
        <v>28</v>
      </c>
      <c r="H54">
        <v>29</v>
      </c>
      <c r="J54">
        <v>500</v>
      </c>
      <c r="L54" t="s">
        <v>27</v>
      </c>
      <c r="M54">
        <v>37.983941199999997</v>
      </c>
      <c r="N54">
        <v>23.728305200000001</v>
      </c>
      <c r="O54" t="s">
        <v>83</v>
      </c>
    </row>
    <row r="55" spans="1:15" x14ac:dyDescent="0.2">
      <c r="A55" t="s">
        <v>3</v>
      </c>
      <c r="B55" t="s">
        <v>83</v>
      </c>
      <c r="C55" t="s">
        <v>27</v>
      </c>
      <c r="E55">
        <v>0</v>
      </c>
      <c r="F55" t="s">
        <v>153</v>
      </c>
      <c r="G55">
        <v>32</v>
      </c>
      <c r="H55">
        <v>33</v>
      </c>
      <c r="J55">
        <v>1500</v>
      </c>
      <c r="L55" t="s">
        <v>27</v>
      </c>
      <c r="M55">
        <v>37.983941199999997</v>
      </c>
      <c r="N55">
        <v>23.728305200000001</v>
      </c>
      <c r="O55" t="s">
        <v>83</v>
      </c>
    </row>
    <row r="56" spans="1:15" x14ac:dyDescent="0.2">
      <c r="A56" t="s">
        <v>3</v>
      </c>
      <c r="B56" t="s">
        <v>83</v>
      </c>
      <c r="C56" t="s">
        <v>27</v>
      </c>
      <c r="E56">
        <v>0</v>
      </c>
      <c r="F56" t="s">
        <v>153</v>
      </c>
      <c r="G56">
        <v>33</v>
      </c>
      <c r="H56">
        <v>34</v>
      </c>
      <c r="J56">
        <v>5500</v>
      </c>
      <c r="L56" t="s">
        <v>27</v>
      </c>
      <c r="M56">
        <v>37.983941199999997</v>
      </c>
      <c r="N56">
        <v>23.728305200000001</v>
      </c>
      <c r="O56" t="s">
        <v>83</v>
      </c>
    </row>
    <row r="57" spans="1:15" x14ac:dyDescent="0.2">
      <c r="A57" t="s">
        <v>3</v>
      </c>
      <c r="B57" t="s">
        <v>83</v>
      </c>
      <c r="C57" t="s">
        <v>27</v>
      </c>
      <c r="E57">
        <v>0</v>
      </c>
      <c r="F57" t="s">
        <v>153</v>
      </c>
      <c r="G57">
        <v>34</v>
      </c>
      <c r="H57">
        <v>35</v>
      </c>
      <c r="J57">
        <v>2000</v>
      </c>
      <c r="L57" t="s">
        <v>27</v>
      </c>
      <c r="M57">
        <v>37.983941199999997</v>
      </c>
      <c r="N57">
        <v>23.728305200000001</v>
      </c>
      <c r="O57" t="s">
        <v>83</v>
      </c>
    </row>
    <row r="58" spans="1:15" x14ac:dyDescent="0.2">
      <c r="A58" t="s">
        <v>3</v>
      </c>
      <c r="B58" t="s">
        <v>83</v>
      </c>
      <c r="C58" t="s">
        <v>27</v>
      </c>
      <c r="E58">
        <v>0</v>
      </c>
      <c r="F58" t="s">
        <v>153</v>
      </c>
      <c r="G58">
        <v>35</v>
      </c>
      <c r="H58">
        <v>36</v>
      </c>
      <c r="J58">
        <v>2500</v>
      </c>
      <c r="L58" t="s">
        <v>27</v>
      </c>
      <c r="M58">
        <v>37.983941199999997</v>
      </c>
      <c r="N58">
        <v>23.728305200000001</v>
      </c>
      <c r="O58" t="s">
        <v>83</v>
      </c>
    </row>
    <row r="59" spans="1:15" x14ac:dyDescent="0.2">
      <c r="A59" t="s">
        <v>3</v>
      </c>
      <c r="B59" t="s">
        <v>83</v>
      </c>
      <c r="C59" t="s">
        <v>27</v>
      </c>
      <c r="E59">
        <v>0</v>
      </c>
      <c r="F59" t="s">
        <v>153</v>
      </c>
      <c r="G59">
        <v>36</v>
      </c>
      <c r="H59">
        <v>37</v>
      </c>
      <c r="J59">
        <v>11000</v>
      </c>
      <c r="L59" t="s">
        <v>27</v>
      </c>
      <c r="M59">
        <v>37.983941199999997</v>
      </c>
      <c r="N59">
        <v>23.728305200000001</v>
      </c>
      <c r="O59" t="s">
        <v>83</v>
      </c>
    </row>
    <row r="60" spans="1:15" x14ac:dyDescent="0.2">
      <c r="A60" t="s">
        <v>3</v>
      </c>
      <c r="B60" t="s">
        <v>83</v>
      </c>
      <c r="C60" t="s">
        <v>27</v>
      </c>
      <c r="E60">
        <v>0</v>
      </c>
      <c r="F60" t="s">
        <v>153</v>
      </c>
      <c r="G60">
        <v>37</v>
      </c>
      <c r="H60">
        <v>38</v>
      </c>
      <c r="J60">
        <v>3500</v>
      </c>
      <c r="L60" t="s">
        <v>27</v>
      </c>
      <c r="M60">
        <v>37.983941199999997</v>
      </c>
      <c r="N60">
        <v>23.728305200000001</v>
      </c>
      <c r="O60" t="s">
        <v>83</v>
      </c>
    </row>
    <row r="61" spans="1:15" x14ac:dyDescent="0.2">
      <c r="A61" t="s">
        <v>3</v>
      </c>
      <c r="B61" t="s">
        <v>83</v>
      </c>
      <c r="C61" t="s">
        <v>27</v>
      </c>
      <c r="E61">
        <v>0</v>
      </c>
      <c r="F61" t="s">
        <v>153</v>
      </c>
      <c r="G61">
        <v>38</v>
      </c>
      <c r="H61">
        <v>39</v>
      </c>
      <c r="J61">
        <v>8000</v>
      </c>
      <c r="L61" t="s">
        <v>27</v>
      </c>
      <c r="M61">
        <v>37.983941199999997</v>
      </c>
      <c r="N61">
        <v>23.728305200000001</v>
      </c>
      <c r="O61" t="s">
        <v>83</v>
      </c>
    </row>
    <row r="62" spans="1:15" x14ac:dyDescent="0.2">
      <c r="A62" t="s">
        <v>3</v>
      </c>
      <c r="B62" t="s">
        <v>83</v>
      </c>
      <c r="C62" t="s">
        <v>27</v>
      </c>
      <c r="E62">
        <v>0</v>
      </c>
      <c r="F62" t="s">
        <v>153</v>
      </c>
      <c r="G62">
        <v>39</v>
      </c>
      <c r="H62">
        <v>40</v>
      </c>
      <c r="J62">
        <v>500</v>
      </c>
      <c r="L62" t="s">
        <v>27</v>
      </c>
      <c r="M62">
        <v>37.983941199999997</v>
      </c>
      <c r="N62">
        <v>23.728305200000001</v>
      </c>
      <c r="O62" t="s">
        <v>83</v>
      </c>
    </row>
    <row r="63" spans="1:15" x14ac:dyDescent="0.2">
      <c r="A63" t="s">
        <v>3</v>
      </c>
      <c r="B63" t="s">
        <v>83</v>
      </c>
      <c r="C63" t="s">
        <v>27</v>
      </c>
      <c r="E63">
        <v>0</v>
      </c>
      <c r="F63" t="s">
        <v>153</v>
      </c>
      <c r="G63">
        <v>40</v>
      </c>
      <c r="H63">
        <v>41</v>
      </c>
      <c r="J63">
        <v>1000</v>
      </c>
      <c r="L63" t="s">
        <v>27</v>
      </c>
      <c r="M63">
        <v>37.983941199999997</v>
      </c>
      <c r="N63">
        <v>23.728305200000001</v>
      </c>
      <c r="O63" t="s">
        <v>83</v>
      </c>
    </row>
    <row r="64" spans="1:15" x14ac:dyDescent="0.2">
      <c r="A64" t="s">
        <v>3</v>
      </c>
      <c r="B64" t="s">
        <v>83</v>
      </c>
      <c r="C64" t="s">
        <v>27</v>
      </c>
      <c r="E64">
        <v>0</v>
      </c>
      <c r="F64" t="s">
        <v>153</v>
      </c>
      <c r="G64">
        <v>41</v>
      </c>
      <c r="H64">
        <v>42</v>
      </c>
      <c r="J64">
        <v>10000</v>
      </c>
      <c r="L64" t="s">
        <v>27</v>
      </c>
      <c r="M64">
        <v>37.983941199999997</v>
      </c>
      <c r="N64">
        <v>23.728305200000001</v>
      </c>
      <c r="O64" t="s">
        <v>83</v>
      </c>
    </row>
    <row r="65" spans="1:15" x14ac:dyDescent="0.2">
      <c r="A65" t="s">
        <v>3</v>
      </c>
      <c r="B65" t="s">
        <v>83</v>
      </c>
      <c r="C65" t="s">
        <v>27</v>
      </c>
      <c r="E65">
        <v>0</v>
      </c>
      <c r="F65" t="s">
        <v>153</v>
      </c>
      <c r="G65">
        <v>42</v>
      </c>
      <c r="H65">
        <v>43</v>
      </c>
      <c r="J65">
        <v>3000</v>
      </c>
      <c r="L65" t="s">
        <v>27</v>
      </c>
      <c r="M65">
        <v>37.983941199999997</v>
      </c>
      <c r="N65">
        <v>23.728305200000001</v>
      </c>
      <c r="O65" t="s">
        <v>83</v>
      </c>
    </row>
    <row r="66" spans="1:15" x14ac:dyDescent="0.2">
      <c r="A66" t="s">
        <v>3</v>
      </c>
      <c r="B66" t="s">
        <v>83</v>
      </c>
      <c r="C66" t="s">
        <v>27</v>
      </c>
      <c r="E66">
        <v>0</v>
      </c>
      <c r="F66" t="s">
        <v>153</v>
      </c>
      <c r="G66">
        <v>43</v>
      </c>
      <c r="H66">
        <v>44</v>
      </c>
      <c r="J66">
        <v>3500</v>
      </c>
      <c r="L66" t="s">
        <v>27</v>
      </c>
      <c r="M66">
        <v>37.983941199999997</v>
      </c>
      <c r="N66">
        <v>23.728305200000001</v>
      </c>
      <c r="O66" t="s">
        <v>83</v>
      </c>
    </row>
    <row r="67" spans="1:15" x14ac:dyDescent="0.2">
      <c r="A67" t="s">
        <v>3</v>
      </c>
      <c r="B67" t="s">
        <v>83</v>
      </c>
      <c r="C67" t="s">
        <v>27</v>
      </c>
      <c r="E67">
        <v>0</v>
      </c>
      <c r="F67" t="s">
        <v>153</v>
      </c>
      <c r="G67">
        <v>44</v>
      </c>
      <c r="H67">
        <v>45</v>
      </c>
      <c r="J67">
        <v>6000</v>
      </c>
      <c r="L67" t="s">
        <v>27</v>
      </c>
      <c r="M67">
        <v>37.983941199999997</v>
      </c>
      <c r="N67">
        <v>23.728305200000001</v>
      </c>
      <c r="O67" t="s">
        <v>83</v>
      </c>
    </row>
    <row r="68" spans="1:15" x14ac:dyDescent="0.2">
      <c r="A68" t="s">
        <v>3</v>
      </c>
      <c r="B68" t="s">
        <v>83</v>
      </c>
      <c r="C68" t="s">
        <v>27</v>
      </c>
      <c r="E68">
        <v>0</v>
      </c>
      <c r="F68" t="s">
        <v>153</v>
      </c>
      <c r="G68">
        <v>45</v>
      </c>
      <c r="H68">
        <v>46</v>
      </c>
      <c r="J68">
        <v>2000</v>
      </c>
      <c r="L68" t="s">
        <v>27</v>
      </c>
      <c r="M68">
        <v>37.983941199999997</v>
      </c>
      <c r="N68">
        <v>23.728305200000001</v>
      </c>
      <c r="O68" t="s">
        <v>83</v>
      </c>
    </row>
    <row r="69" spans="1:15" x14ac:dyDescent="0.2">
      <c r="A69" t="s">
        <v>3</v>
      </c>
      <c r="B69" t="s">
        <v>83</v>
      </c>
      <c r="C69" t="s">
        <v>27</v>
      </c>
      <c r="E69">
        <v>0</v>
      </c>
      <c r="F69" t="s">
        <v>153</v>
      </c>
      <c r="G69">
        <v>46</v>
      </c>
      <c r="H69">
        <v>47</v>
      </c>
      <c r="J69">
        <v>1000</v>
      </c>
      <c r="L69" t="s">
        <v>27</v>
      </c>
      <c r="M69">
        <v>37.983941199999997</v>
      </c>
      <c r="N69">
        <v>23.728305200000001</v>
      </c>
      <c r="O69" t="s">
        <v>83</v>
      </c>
    </row>
    <row r="70" spans="1:15" x14ac:dyDescent="0.2">
      <c r="A70" t="s">
        <v>3</v>
      </c>
      <c r="B70" t="s">
        <v>83</v>
      </c>
      <c r="C70" t="s">
        <v>27</v>
      </c>
      <c r="E70">
        <v>0</v>
      </c>
      <c r="F70" t="s">
        <v>153</v>
      </c>
      <c r="G70">
        <v>47</v>
      </c>
      <c r="H70">
        <v>48</v>
      </c>
      <c r="J70">
        <v>2000</v>
      </c>
      <c r="L70" t="s">
        <v>27</v>
      </c>
      <c r="M70">
        <v>37.983941199999997</v>
      </c>
      <c r="N70">
        <v>23.728305200000001</v>
      </c>
      <c r="O70" t="s">
        <v>83</v>
      </c>
    </row>
    <row r="71" spans="1:15" x14ac:dyDescent="0.2">
      <c r="A71" t="s">
        <v>3</v>
      </c>
      <c r="B71" t="s">
        <v>83</v>
      </c>
      <c r="C71" t="s">
        <v>27</v>
      </c>
      <c r="E71">
        <v>0</v>
      </c>
      <c r="F71" t="s">
        <v>153</v>
      </c>
      <c r="G71">
        <v>48</v>
      </c>
      <c r="H71">
        <v>49</v>
      </c>
      <c r="J71">
        <v>2500</v>
      </c>
      <c r="L71" t="s">
        <v>27</v>
      </c>
      <c r="M71">
        <v>37.983941199999997</v>
      </c>
      <c r="N71">
        <v>23.728305200000001</v>
      </c>
      <c r="O71" t="s">
        <v>83</v>
      </c>
    </row>
    <row r="72" spans="1:15" x14ac:dyDescent="0.2">
      <c r="A72" t="s">
        <v>166</v>
      </c>
      <c r="B72" t="s">
        <v>83</v>
      </c>
      <c r="C72" t="s">
        <v>27</v>
      </c>
      <c r="E72">
        <v>0</v>
      </c>
      <c r="F72" t="s">
        <v>153</v>
      </c>
      <c r="G72">
        <v>0</v>
      </c>
      <c r="H72">
        <v>52</v>
      </c>
      <c r="I72" t="s">
        <v>154</v>
      </c>
      <c r="J72">
        <v>50000</v>
      </c>
      <c r="L72" t="s">
        <v>27</v>
      </c>
      <c r="M72">
        <v>37.983941199999997</v>
      </c>
      <c r="N72">
        <v>23.728305200000001</v>
      </c>
      <c r="O72" t="s">
        <v>83</v>
      </c>
    </row>
    <row r="73" spans="1:15" x14ac:dyDescent="0.2">
      <c r="A73" t="s">
        <v>3</v>
      </c>
      <c r="B73" t="s">
        <v>83</v>
      </c>
      <c r="C73" t="s">
        <v>28</v>
      </c>
      <c r="E73">
        <v>0</v>
      </c>
      <c r="F73" t="s">
        <v>153</v>
      </c>
      <c r="G73">
        <v>19</v>
      </c>
      <c r="H73">
        <v>20</v>
      </c>
      <c r="J73">
        <v>1000</v>
      </c>
      <c r="L73" t="s">
        <v>28</v>
      </c>
      <c r="M73">
        <v>45.747956299999998</v>
      </c>
      <c r="N73">
        <v>-0.338561373</v>
      </c>
      <c r="O73" t="s">
        <v>83</v>
      </c>
    </row>
    <row r="74" spans="1:15" x14ac:dyDescent="0.2">
      <c r="A74" t="s">
        <v>3</v>
      </c>
      <c r="B74" t="s">
        <v>83</v>
      </c>
      <c r="C74" t="s">
        <v>28</v>
      </c>
      <c r="E74">
        <v>0</v>
      </c>
      <c r="F74" t="s">
        <v>153</v>
      </c>
      <c r="G74">
        <v>32</v>
      </c>
      <c r="H74">
        <v>33</v>
      </c>
      <c r="J74">
        <v>1000</v>
      </c>
      <c r="L74" t="s">
        <v>28</v>
      </c>
      <c r="M74">
        <v>45.747956299999998</v>
      </c>
      <c r="N74">
        <v>-0.338561373</v>
      </c>
      <c r="O74" t="s">
        <v>83</v>
      </c>
    </row>
    <row r="75" spans="1:15" x14ac:dyDescent="0.2">
      <c r="A75" t="s">
        <v>3</v>
      </c>
      <c r="B75" t="s">
        <v>83</v>
      </c>
      <c r="C75" t="s">
        <v>28</v>
      </c>
      <c r="E75">
        <v>0</v>
      </c>
      <c r="F75" t="s">
        <v>153</v>
      </c>
      <c r="G75">
        <v>40</v>
      </c>
      <c r="H75">
        <v>41</v>
      </c>
      <c r="J75">
        <v>1000</v>
      </c>
      <c r="L75" t="s">
        <v>28</v>
      </c>
      <c r="M75">
        <v>45.747956299999998</v>
      </c>
      <c r="N75">
        <v>-0.338561373</v>
      </c>
      <c r="O75" t="s">
        <v>83</v>
      </c>
    </row>
    <row r="76" spans="1:15" x14ac:dyDescent="0.2">
      <c r="A76" t="s">
        <v>166</v>
      </c>
      <c r="B76" t="s">
        <v>83</v>
      </c>
      <c r="C76" t="s">
        <v>28</v>
      </c>
      <c r="E76">
        <v>0</v>
      </c>
      <c r="F76" t="s">
        <v>153</v>
      </c>
      <c r="G76">
        <v>0</v>
      </c>
      <c r="H76">
        <v>52</v>
      </c>
      <c r="I76" t="s">
        <v>154</v>
      </c>
      <c r="J76">
        <v>50000</v>
      </c>
      <c r="L76" t="s">
        <v>28</v>
      </c>
      <c r="M76">
        <v>45.747956299999998</v>
      </c>
      <c r="N76">
        <v>-0.338561373</v>
      </c>
      <c r="O76" t="s">
        <v>83</v>
      </c>
    </row>
    <row r="77" spans="1:15" x14ac:dyDescent="0.2">
      <c r="A77" t="s">
        <v>3</v>
      </c>
      <c r="B77" t="s">
        <v>83</v>
      </c>
      <c r="C77" t="s">
        <v>29</v>
      </c>
      <c r="E77">
        <v>0</v>
      </c>
      <c r="F77" t="s">
        <v>153</v>
      </c>
      <c r="G77">
        <v>1</v>
      </c>
      <c r="H77">
        <v>2</v>
      </c>
      <c r="J77">
        <v>500</v>
      </c>
      <c r="L77" t="s">
        <v>29</v>
      </c>
      <c r="M77">
        <v>48.224243399999999</v>
      </c>
      <c r="N77">
        <v>11.6715263</v>
      </c>
      <c r="O77" t="s">
        <v>83</v>
      </c>
    </row>
    <row r="78" spans="1:15" x14ac:dyDescent="0.2">
      <c r="A78" t="s">
        <v>3</v>
      </c>
      <c r="B78" t="s">
        <v>83</v>
      </c>
      <c r="C78" t="s">
        <v>29</v>
      </c>
      <c r="E78">
        <v>0</v>
      </c>
      <c r="F78" t="s">
        <v>153</v>
      </c>
      <c r="G78">
        <v>2</v>
      </c>
      <c r="H78">
        <v>3</v>
      </c>
      <c r="J78">
        <v>500</v>
      </c>
      <c r="L78" t="s">
        <v>29</v>
      </c>
      <c r="M78">
        <v>48.224243399999999</v>
      </c>
      <c r="N78">
        <v>11.6715263</v>
      </c>
      <c r="O78" t="s">
        <v>83</v>
      </c>
    </row>
    <row r="79" spans="1:15" x14ac:dyDescent="0.2">
      <c r="A79" t="s">
        <v>3</v>
      </c>
      <c r="B79" t="s">
        <v>83</v>
      </c>
      <c r="C79" t="s">
        <v>29</v>
      </c>
      <c r="E79">
        <v>0</v>
      </c>
      <c r="F79" t="s">
        <v>153</v>
      </c>
      <c r="G79">
        <v>4</v>
      </c>
      <c r="H79">
        <v>5</v>
      </c>
      <c r="J79">
        <v>500</v>
      </c>
      <c r="L79" t="s">
        <v>29</v>
      </c>
      <c r="M79">
        <v>48.224243399999999</v>
      </c>
      <c r="N79">
        <v>11.6715263</v>
      </c>
      <c r="O79" t="s">
        <v>83</v>
      </c>
    </row>
    <row r="80" spans="1:15" x14ac:dyDescent="0.2">
      <c r="A80" t="s">
        <v>3</v>
      </c>
      <c r="B80" t="s">
        <v>83</v>
      </c>
      <c r="C80" t="s">
        <v>29</v>
      </c>
      <c r="E80">
        <v>0</v>
      </c>
      <c r="F80" t="s">
        <v>153</v>
      </c>
      <c r="G80">
        <v>6</v>
      </c>
      <c r="H80">
        <v>7</v>
      </c>
      <c r="J80">
        <v>500</v>
      </c>
      <c r="L80" t="s">
        <v>29</v>
      </c>
      <c r="M80">
        <v>48.224243399999999</v>
      </c>
      <c r="N80">
        <v>11.6715263</v>
      </c>
      <c r="O80" t="s">
        <v>83</v>
      </c>
    </row>
    <row r="81" spans="1:15" x14ac:dyDescent="0.2">
      <c r="A81" t="s">
        <v>3</v>
      </c>
      <c r="B81" t="s">
        <v>83</v>
      </c>
      <c r="C81" t="s">
        <v>29</v>
      </c>
      <c r="E81">
        <v>0</v>
      </c>
      <c r="F81" t="s">
        <v>153</v>
      </c>
      <c r="G81">
        <v>8</v>
      </c>
      <c r="H81">
        <v>9</v>
      </c>
      <c r="J81">
        <v>500</v>
      </c>
      <c r="L81" t="s">
        <v>29</v>
      </c>
      <c r="M81">
        <v>48.224243399999999</v>
      </c>
      <c r="N81">
        <v>11.6715263</v>
      </c>
      <c r="O81" t="s">
        <v>83</v>
      </c>
    </row>
    <row r="82" spans="1:15" x14ac:dyDescent="0.2">
      <c r="A82" t="s">
        <v>3</v>
      </c>
      <c r="B82" t="s">
        <v>83</v>
      </c>
      <c r="C82" t="s">
        <v>29</v>
      </c>
      <c r="E82">
        <v>0</v>
      </c>
      <c r="F82" t="s">
        <v>153</v>
      </c>
      <c r="G82">
        <v>9</v>
      </c>
      <c r="H82">
        <v>10</v>
      </c>
      <c r="J82">
        <v>500</v>
      </c>
      <c r="L82" t="s">
        <v>29</v>
      </c>
      <c r="M82">
        <v>48.224243399999999</v>
      </c>
      <c r="N82">
        <v>11.6715263</v>
      </c>
      <c r="O82" t="s">
        <v>83</v>
      </c>
    </row>
    <row r="83" spans="1:15" x14ac:dyDescent="0.2">
      <c r="A83" t="s">
        <v>3</v>
      </c>
      <c r="B83" t="s">
        <v>83</v>
      </c>
      <c r="C83" t="s">
        <v>29</v>
      </c>
      <c r="E83">
        <v>0</v>
      </c>
      <c r="F83" t="s">
        <v>153</v>
      </c>
      <c r="G83">
        <v>10</v>
      </c>
      <c r="H83">
        <v>11</v>
      </c>
      <c r="J83">
        <v>500</v>
      </c>
      <c r="L83" t="s">
        <v>29</v>
      </c>
      <c r="M83">
        <v>48.224243399999999</v>
      </c>
      <c r="N83">
        <v>11.6715263</v>
      </c>
      <c r="O83" t="s">
        <v>83</v>
      </c>
    </row>
    <row r="84" spans="1:15" x14ac:dyDescent="0.2">
      <c r="A84" t="s">
        <v>3</v>
      </c>
      <c r="B84" t="s">
        <v>83</v>
      </c>
      <c r="C84" t="s">
        <v>29</v>
      </c>
      <c r="E84">
        <v>0</v>
      </c>
      <c r="F84" t="s">
        <v>153</v>
      </c>
      <c r="G84">
        <v>11</v>
      </c>
      <c r="H84">
        <v>12</v>
      </c>
      <c r="J84">
        <v>500</v>
      </c>
      <c r="L84" t="s">
        <v>29</v>
      </c>
      <c r="M84">
        <v>48.224243399999999</v>
      </c>
      <c r="N84">
        <v>11.6715263</v>
      </c>
      <c r="O84" t="s">
        <v>83</v>
      </c>
    </row>
    <row r="85" spans="1:15" x14ac:dyDescent="0.2">
      <c r="A85" t="s">
        <v>3</v>
      </c>
      <c r="B85" t="s">
        <v>83</v>
      </c>
      <c r="C85" t="s">
        <v>29</v>
      </c>
      <c r="E85">
        <v>0</v>
      </c>
      <c r="F85" t="s">
        <v>153</v>
      </c>
      <c r="G85">
        <v>12</v>
      </c>
      <c r="H85">
        <v>13</v>
      </c>
      <c r="J85">
        <v>500</v>
      </c>
      <c r="L85" t="s">
        <v>29</v>
      </c>
      <c r="M85">
        <v>48.224243399999999</v>
      </c>
      <c r="N85">
        <v>11.6715263</v>
      </c>
      <c r="O85" t="s">
        <v>83</v>
      </c>
    </row>
    <row r="86" spans="1:15" x14ac:dyDescent="0.2">
      <c r="A86" t="s">
        <v>3</v>
      </c>
      <c r="B86" t="s">
        <v>83</v>
      </c>
      <c r="C86" t="s">
        <v>29</v>
      </c>
      <c r="E86">
        <v>0</v>
      </c>
      <c r="F86" t="s">
        <v>153</v>
      </c>
      <c r="G86">
        <v>13</v>
      </c>
      <c r="H86">
        <v>14</v>
      </c>
      <c r="J86">
        <v>500</v>
      </c>
      <c r="L86" t="s">
        <v>29</v>
      </c>
      <c r="M86">
        <v>48.224243399999999</v>
      </c>
      <c r="N86">
        <v>11.6715263</v>
      </c>
      <c r="O86" t="s">
        <v>83</v>
      </c>
    </row>
    <row r="87" spans="1:15" x14ac:dyDescent="0.2">
      <c r="A87" t="s">
        <v>3</v>
      </c>
      <c r="B87" t="s">
        <v>83</v>
      </c>
      <c r="C87" t="s">
        <v>29</v>
      </c>
      <c r="E87">
        <v>0</v>
      </c>
      <c r="F87" t="s">
        <v>153</v>
      </c>
      <c r="G87">
        <v>15</v>
      </c>
      <c r="H87">
        <v>16</v>
      </c>
      <c r="J87">
        <v>500</v>
      </c>
      <c r="L87" t="s">
        <v>29</v>
      </c>
      <c r="M87">
        <v>48.224243399999999</v>
      </c>
      <c r="N87">
        <v>11.6715263</v>
      </c>
      <c r="O87" t="s">
        <v>83</v>
      </c>
    </row>
    <row r="88" spans="1:15" x14ac:dyDescent="0.2">
      <c r="A88" t="s">
        <v>3</v>
      </c>
      <c r="B88" t="s">
        <v>83</v>
      </c>
      <c r="C88" t="s">
        <v>29</v>
      </c>
      <c r="E88">
        <v>0</v>
      </c>
      <c r="F88" t="s">
        <v>153</v>
      </c>
      <c r="G88">
        <v>18</v>
      </c>
      <c r="H88">
        <v>19</v>
      </c>
      <c r="J88">
        <v>500</v>
      </c>
      <c r="L88" t="s">
        <v>29</v>
      </c>
      <c r="M88">
        <v>48.224243399999999</v>
      </c>
      <c r="N88">
        <v>11.6715263</v>
      </c>
      <c r="O88" t="s">
        <v>83</v>
      </c>
    </row>
    <row r="89" spans="1:15" x14ac:dyDescent="0.2">
      <c r="A89" t="s">
        <v>3</v>
      </c>
      <c r="B89" t="s">
        <v>83</v>
      </c>
      <c r="C89" t="s">
        <v>29</v>
      </c>
      <c r="E89">
        <v>0</v>
      </c>
      <c r="F89" t="s">
        <v>153</v>
      </c>
      <c r="G89">
        <v>19</v>
      </c>
      <c r="H89">
        <v>20</v>
      </c>
      <c r="J89">
        <v>500</v>
      </c>
      <c r="L89" t="s">
        <v>29</v>
      </c>
      <c r="M89">
        <v>48.224243399999999</v>
      </c>
      <c r="N89">
        <v>11.6715263</v>
      </c>
      <c r="O89" t="s">
        <v>83</v>
      </c>
    </row>
    <row r="90" spans="1:15" x14ac:dyDescent="0.2">
      <c r="A90" t="s">
        <v>3</v>
      </c>
      <c r="B90" t="s">
        <v>83</v>
      </c>
      <c r="C90" t="s">
        <v>29</v>
      </c>
      <c r="E90">
        <v>0</v>
      </c>
      <c r="F90" t="s">
        <v>153</v>
      </c>
      <c r="G90">
        <v>20</v>
      </c>
      <c r="H90">
        <v>21</v>
      </c>
      <c r="J90">
        <v>500</v>
      </c>
      <c r="L90" t="s">
        <v>29</v>
      </c>
      <c r="M90">
        <v>48.224243399999999</v>
      </c>
      <c r="N90">
        <v>11.6715263</v>
      </c>
      <c r="O90" t="s">
        <v>83</v>
      </c>
    </row>
    <row r="91" spans="1:15" x14ac:dyDescent="0.2">
      <c r="A91" t="s">
        <v>3</v>
      </c>
      <c r="B91" t="s">
        <v>83</v>
      </c>
      <c r="C91" t="s">
        <v>29</v>
      </c>
      <c r="E91">
        <v>0</v>
      </c>
      <c r="F91" t="s">
        <v>153</v>
      </c>
      <c r="G91">
        <v>21</v>
      </c>
      <c r="H91">
        <v>22</v>
      </c>
      <c r="J91">
        <v>500</v>
      </c>
      <c r="L91" t="s">
        <v>29</v>
      </c>
      <c r="M91">
        <v>48.224243399999999</v>
      </c>
      <c r="N91">
        <v>11.6715263</v>
      </c>
      <c r="O91" t="s">
        <v>83</v>
      </c>
    </row>
    <row r="92" spans="1:15" x14ac:dyDescent="0.2">
      <c r="A92" t="s">
        <v>3</v>
      </c>
      <c r="B92" t="s">
        <v>83</v>
      </c>
      <c r="C92" t="s">
        <v>29</v>
      </c>
      <c r="E92">
        <v>0</v>
      </c>
      <c r="F92" t="s">
        <v>153</v>
      </c>
      <c r="G92">
        <v>23</v>
      </c>
      <c r="H92">
        <v>24</v>
      </c>
      <c r="J92">
        <v>500</v>
      </c>
      <c r="L92" t="s">
        <v>29</v>
      </c>
      <c r="M92">
        <v>48.224243399999999</v>
      </c>
      <c r="N92">
        <v>11.6715263</v>
      </c>
      <c r="O92" t="s">
        <v>83</v>
      </c>
    </row>
    <row r="93" spans="1:15" x14ac:dyDescent="0.2">
      <c r="A93" t="s">
        <v>3</v>
      </c>
      <c r="B93" t="s">
        <v>83</v>
      </c>
      <c r="C93" t="s">
        <v>29</v>
      </c>
      <c r="E93">
        <v>0</v>
      </c>
      <c r="F93" t="s">
        <v>153</v>
      </c>
      <c r="G93">
        <v>25</v>
      </c>
      <c r="H93">
        <v>26</v>
      </c>
      <c r="J93">
        <v>500</v>
      </c>
      <c r="L93" t="s">
        <v>29</v>
      </c>
      <c r="M93">
        <v>48.224243399999999</v>
      </c>
      <c r="N93">
        <v>11.6715263</v>
      </c>
      <c r="O93" t="s">
        <v>83</v>
      </c>
    </row>
    <row r="94" spans="1:15" x14ac:dyDescent="0.2">
      <c r="A94" t="s">
        <v>3</v>
      </c>
      <c r="B94" t="s">
        <v>83</v>
      </c>
      <c r="C94" t="s">
        <v>29</v>
      </c>
      <c r="E94">
        <v>0</v>
      </c>
      <c r="F94" t="s">
        <v>153</v>
      </c>
      <c r="G94">
        <v>29</v>
      </c>
      <c r="H94">
        <v>30</v>
      </c>
      <c r="J94">
        <v>500</v>
      </c>
      <c r="L94" t="s">
        <v>29</v>
      </c>
      <c r="M94">
        <v>48.224243399999999</v>
      </c>
      <c r="N94">
        <v>11.6715263</v>
      </c>
      <c r="O94" t="s">
        <v>83</v>
      </c>
    </row>
    <row r="95" spans="1:15" x14ac:dyDescent="0.2">
      <c r="A95" t="s">
        <v>3</v>
      </c>
      <c r="B95" t="s">
        <v>83</v>
      </c>
      <c r="C95" t="s">
        <v>29</v>
      </c>
      <c r="E95">
        <v>0</v>
      </c>
      <c r="F95" t="s">
        <v>153</v>
      </c>
      <c r="G95">
        <v>30</v>
      </c>
      <c r="H95">
        <v>31</v>
      </c>
      <c r="J95">
        <v>500</v>
      </c>
      <c r="L95" t="s">
        <v>29</v>
      </c>
      <c r="M95">
        <v>48.224243399999999</v>
      </c>
      <c r="N95">
        <v>11.6715263</v>
      </c>
      <c r="O95" t="s">
        <v>83</v>
      </c>
    </row>
    <row r="96" spans="1:15" x14ac:dyDescent="0.2">
      <c r="A96" t="s">
        <v>3</v>
      </c>
      <c r="B96" t="s">
        <v>83</v>
      </c>
      <c r="C96" t="s">
        <v>29</v>
      </c>
      <c r="E96">
        <v>0</v>
      </c>
      <c r="F96" t="s">
        <v>153</v>
      </c>
      <c r="G96">
        <v>31</v>
      </c>
      <c r="H96">
        <v>32</v>
      </c>
      <c r="J96">
        <v>500</v>
      </c>
      <c r="L96" t="s">
        <v>29</v>
      </c>
      <c r="M96">
        <v>48.224243399999999</v>
      </c>
      <c r="N96">
        <v>11.6715263</v>
      </c>
      <c r="O96" t="s">
        <v>83</v>
      </c>
    </row>
    <row r="97" spans="1:15" x14ac:dyDescent="0.2">
      <c r="A97" t="s">
        <v>3</v>
      </c>
      <c r="B97" t="s">
        <v>83</v>
      </c>
      <c r="C97" t="s">
        <v>29</v>
      </c>
      <c r="E97">
        <v>0</v>
      </c>
      <c r="F97" t="s">
        <v>153</v>
      </c>
      <c r="G97">
        <v>33</v>
      </c>
      <c r="H97">
        <v>34</v>
      </c>
      <c r="J97">
        <v>500</v>
      </c>
      <c r="L97" t="s">
        <v>29</v>
      </c>
      <c r="M97">
        <v>48.224243399999999</v>
      </c>
      <c r="N97">
        <v>11.6715263</v>
      </c>
      <c r="O97" t="s">
        <v>83</v>
      </c>
    </row>
    <row r="98" spans="1:15" x14ac:dyDescent="0.2">
      <c r="A98" t="s">
        <v>3</v>
      </c>
      <c r="B98" t="s">
        <v>83</v>
      </c>
      <c r="C98" t="s">
        <v>29</v>
      </c>
      <c r="E98">
        <v>0</v>
      </c>
      <c r="F98" t="s">
        <v>153</v>
      </c>
      <c r="G98">
        <v>35</v>
      </c>
      <c r="H98">
        <v>36</v>
      </c>
      <c r="J98">
        <v>500</v>
      </c>
      <c r="L98" t="s">
        <v>29</v>
      </c>
      <c r="M98">
        <v>48.224243399999999</v>
      </c>
      <c r="N98">
        <v>11.6715263</v>
      </c>
      <c r="O98" t="s">
        <v>83</v>
      </c>
    </row>
    <row r="99" spans="1:15" x14ac:dyDescent="0.2">
      <c r="A99" t="s">
        <v>3</v>
      </c>
      <c r="B99" t="s">
        <v>83</v>
      </c>
      <c r="C99" t="s">
        <v>29</v>
      </c>
      <c r="E99">
        <v>0</v>
      </c>
      <c r="F99" t="s">
        <v>153</v>
      </c>
      <c r="G99">
        <v>36</v>
      </c>
      <c r="H99">
        <v>37</v>
      </c>
      <c r="J99">
        <v>500</v>
      </c>
      <c r="L99" t="s">
        <v>29</v>
      </c>
      <c r="M99">
        <v>48.224243399999999</v>
      </c>
      <c r="N99">
        <v>11.6715263</v>
      </c>
      <c r="O99" t="s">
        <v>83</v>
      </c>
    </row>
    <row r="100" spans="1:15" x14ac:dyDescent="0.2">
      <c r="A100" t="s">
        <v>3</v>
      </c>
      <c r="B100" t="s">
        <v>83</v>
      </c>
      <c r="C100" t="s">
        <v>29</v>
      </c>
      <c r="E100">
        <v>0</v>
      </c>
      <c r="F100" t="s">
        <v>153</v>
      </c>
      <c r="G100">
        <v>38</v>
      </c>
      <c r="H100">
        <v>39</v>
      </c>
      <c r="J100">
        <v>500</v>
      </c>
      <c r="L100" t="s">
        <v>29</v>
      </c>
      <c r="M100">
        <v>48.224243399999999</v>
      </c>
      <c r="N100">
        <v>11.6715263</v>
      </c>
      <c r="O100" t="s">
        <v>83</v>
      </c>
    </row>
    <row r="101" spans="1:15" x14ac:dyDescent="0.2">
      <c r="A101" t="s">
        <v>3</v>
      </c>
      <c r="B101" t="s">
        <v>83</v>
      </c>
      <c r="C101" t="s">
        <v>29</v>
      </c>
      <c r="E101">
        <v>0</v>
      </c>
      <c r="F101" t="s">
        <v>153</v>
      </c>
      <c r="G101">
        <v>39</v>
      </c>
      <c r="H101">
        <v>40</v>
      </c>
      <c r="J101">
        <v>500</v>
      </c>
      <c r="L101" t="s">
        <v>29</v>
      </c>
      <c r="M101">
        <v>48.224243399999999</v>
      </c>
      <c r="N101">
        <v>11.6715263</v>
      </c>
      <c r="O101" t="s">
        <v>83</v>
      </c>
    </row>
    <row r="102" spans="1:15" x14ac:dyDescent="0.2">
      <c r="A102" t="s">
        <v>3</v>
      </c>
      <c r="B102" t="s">
        <v>83</v>
      </c>
      <c r="C102" t="s">
        <v>29</v>
      </c>
      <c r="E102">
        <v>0</v>
      </c>
      <c r="F102" t="s">
        <v>153</v>
      </c>
      <c r="G102">
        <v>40</v>
      </c>
      <c r="H102">
        <v>41</v>
      </c>
      <c r="J102">
        <v>500</v>
      </c>
      <c r="L102" t="s">
        <v>29</v>
      </c>
      <c r="M102">
        <v>48.224243399999999</v>
      </c>
      <c r="N102">
        <v>11.6715263</v>
      </c>
      <c r="O102" t="s">
        <v>83</v>
      </c>
    </row>
    <row r="103" spans="1:15" x14ac:dyDescent="0.2">
      <c r="A103" t="s">
        <v>3</v>
      </c>
      <c r="B103" t="s">
        <v>83</v>
      </c>
      <c r="C103" t="s">
        <v>29</v>
      </c>
      <c r="E103">
        <v>0</v>
      </c>
      <c r="F103" t="s">
        <v>153</v>
      </c>
      <c r="G103">
        <v>41</v>
      </c>
      <c r="H103">
        <v>42</v>
      </c>
      <c r="J103">
        <v>500</v>
      </c>
      <c r="L103" t="s">
        <v>29</v>
      </c>
      <c r="M103">
        <v>48.224243399999999</v>
      </c>
      <c r="N103">
        <v>11.6715263</v>
      </c>
      <c r="O103" t="s">
        <v>83</v>
      </c>
    </row>
    <row r="104" spans="1:15" x14ac:dyDescent="0.2">
      <c r="A104" t="s">
        <v>3</v>
      </c>
      <c r="B104" t="s">
        <v>83</v>
      </c>
      <c r="C104" t="s">
        <v>29</v>
      </c>
      <c r="E104">
        <v>0</v>
      </c>
      <c r="F104" t="s">
        <v>153</v>
      </c>
      <c r="G104">
        <v>42</v>
      </c>
      <c r="H104">
        <v>43</v>
      </c>
      <c r="J104">
        <v>500</v>
      </c>
      <c r="L104" t="s">
        <v>29</v>
      </c>
      <c r="M104">
        <v>48.224243399999999</v>
      </c>
      <c r="N104">
        <v>11.6715263</v>
      </c>
      <c r="O104" t="s">
        <v>83</v>
      </c>
    </row>
    <row r="105" spans="1:15" x14ac:dyDescent="0.2">
      <c r="A105" t="s">
        <v>3</v>
      </c>
      <c r="B105" t="s">
        <v>83</v>
      </c>
      <c r="C105" t="s">
        <v>29</v>
      </c>
      <c r="E105">
        <v>0</v>
      </c>
      <c r="F105" t="s">
        <v>153</v>
      </c>
      <c r="G105">
        <v>44</v>
      </c>
      <c r="H105">
        <v>45</v>
      </c>
      <c r="J105">
        <v>500</v>
      </c>
      <c r="L105" t="s">
        <v>29</v>
      </c>
      <c r="M105">
        <v>48.224243399999999</v>
      </c>
      <c r="N105">
        <v>11.6715263</v>
      </c>
      <c r="O105" t="s">
        <v>83</v>
      </c>
    </row>
    <row r="106" spans="1:15" x14ac:dyDescent="0.2">
      <c r="A106" t="s">
        <v>3</v>
      </c>
      <c r="B106" t="s">
        <v>83</v>
      </c>
      <c r="C106" t="s">
        <v>29</v>
      </c>
      <c r="E106">
        <v>0</v>
      </c>
      <c r="F106" t="s">
        <v>153</v>
      </c>
      <c r="G106">
        <v>45</v>
      </c>
      <c r="H106">
        <v>46</v>
      </c>
      <c r="J106">
        <v>500</v>
      </c>
      <c r="L106" t="s">
        <v>29</v>
      </c>
      <c r="M106">
        <v>48.224243399999999</v>
      </c>
      <c r="N106">
        <v>11.6715263</v>
      </c>
      <c r="O106" t="s">
        <v>83</v>
      </c>
    </row>
    <row r="107" spans="1:15" x14ac:dyDescent="0.2">
      <c r="A107" t="s">
        <v>3</v>
      </c>
      <c r="B107" t="s">
        <v>83</v>
      </c>
      <c r="C107" t="s">
        <v>29</v>
      </c>
      <c r="E107">
        <v>0</v>
      </c>
      <c r="F107" t="s">
        <v>153</v>
      </c>
      <c r="G107">
        <v>46</v>
      </c>
      <c r="H107">
        <v>47</v>
      </c>
      <c r="J107">
        <v>500</v>
      </c>
      <c r="L107" t="s">
        <v>29</v>
      </c>
      <c r="M107">
        <v>48.224243399999999</v>
      </c>
      <c r="N107">
        <v>11.6715263</v>
      </c>
      <c r="O107" t="s">
        <v>83</v>
      </c>
    </row>
    <row r="108" spans="1:15" x14ac:dyDescent="0.2">
      <c r="A108" t="s">
        <v>3</v>
      </c>
      <c r="B108" t="s">
        <v>83</v>
      </c>
      <c r="C108" t="s">
        <v>29</v>
      </c>
      <c r="E108">
        <v>0</v>
      </c>
      <c r="F108" t="s">
        <v>153</v>
      </c>
      <c r="G108">
        <v>47</v>
      </c>
      <c r="H108">
        <v>48</v>
      </c>
      <c r="J108">
        <v>500</v>
      </c>
      <c r="L108" t="s">
        <v>29</v>
      </c>
      <c r="M108">
        <v>48.224243399999999</v>
      </c>
      <c r="N108">
        <v>11.6715263</v>
      </c>
      <c r="O108" t="s">
        <v>83</v>
      </c>
    </row>
    <row r="109" spans="1:15" x14ac:dyDescent="0.2">
      <c r="A109" t="s">
        <v>3</v>
      </c>
      <c r="B109" t="s">
        <v>83</v>
      </c>
      <c r="C109" t="s">
        <v>29</v>
      </c>
      <c r="E109">
        <v>0</v>
      </c>
      <c r="F109" t="s">
        <v>153</v>
      </c>
      <c r="G109">
        <v>48</v>
      </c>
      <c r="H109">
        <v>49</v>
      </c>
      <c r="J109">
        <v>500</v>
      </c>
      <c r="L109" t="s">
        <v>29</v>
      </c>
      <c r="M109">
        <v>48.224243399999999</v>
      </c>
      <c r="N109">
        <v>11.6715263</v>
      </c>
      <c r="O109" t="s">
        <v>83</v>
      </c>
    </row>
    <row r="110" spans="1:15" x14ac:dyDescent="0.2">
      <c r="A110" t="s">
        <v>166</v>
      </c>
      <c r="B110" t="s">
        <v>83</v>
      </c>
      <c r="C110" t="s">
        <v>29</v>
      </c>
      <c r="E110">
        <v>0</v>
      </c>
      <c r="F110" t="s">
        <v>153</v>
      </c>
      <c r="G110">
        <v>0</v>
      </c>
      <c r="H110">
        <v>52</v>
      </c>
      <c r="I110" t="s">
        <v>154</v>
      </c>
      <c r="J110">
        <v>50000</v>
      </c>
      <c r="L110" t="s">
        <v>29</v>
      </c>
      <c r="M110">
        <v>48.224243399999999</v>
      </c>
      <c r="N110">
        <v>11.6715263</v>
      </c>
      <c r="O110" t="s">
        <v>83</v>
      </c>
    </row>
    <row r="111" spans="1:15" x14ac:dyDescent="0.2">
      <c r="A111" t="s">
        <v>3</v>
      </c>
      <c r="B111" t="s">
        <v>83</v>
      </c>
      <c r="C111" t="s">
        <v>30</v>
      </c>
      <c r="E111">
        <v>0</v>
      </c>
      <c r="F111" t="s">
        <v>153</v>
      </c>
      <c r="G111">
        <v>25</v>
      </c>
      <c r="H111">
        <v>26</v>
      </c>
      <c r="J111">
        <v>1500</v>
      </c>
      <c r="L111" t="s">
        <v>30</v>
      </c>
      <c r="M111">
        <v>51.783499399999997</v>
      </c>
      <c r="N111">
        <v>-0.89464405400000002</v>
      </c>
      <c r="O111" t="s">
        <v>83</v>
      </c>
    </row>
    <row r="112" spans="1:15" x14ac:dyDescent="0.2">
      <c r="A112" t="s">
        <v>3</v>
      </c>
      <c r="B112" t="s">
        <v>83</v>
      </c>
      <c r="C112" t="s">
        <v>30</v>
      </c>
      <c r="E112">
        <v>0</v>
      </c>
      <c r="F112" t="s">
        <v>153</v>
      </c>
      <c r="G112">
        <v>26</v>
      </c>
      <c r="H112">
        <v>27</v>
      </c>
      <c r="J112">
        <v>1500</v>
      </c>
      <c r="L112" t="s">
        <v>30</v>
      </c>
      <c r="M112">
        <v>51.783499399999997</v>
      </c>
      <c r="N112">
        <v>-0.89464405400000002</v>
      </c>
      <c r="O112" t="s">
        <v>83</v>
      </c>
    </row>
    <row r="113" spans="1:15" x14ac:dyDescent="0.2">
      <c r="A113" t="s">
        <v>3</v>
      </c>
      <c r="B113" t="s">
        <v>83</v>
      </c>
      <c r="C113" t="s">
        <v>30</v>
      </c>
      <c r="E113">
        <v>0</v>
      </c>
      <c r="F113" t="s">
        <v>153</v>
      </c>
      <c r="G113">
        <v>27</v>
      </c>
      <c r="H113">
        <v>28</v>
      </c>
      <c r="J113">
        <v>2500</v>
      </c>
      <c r="L113" t="s">
        <v>30</v>
      </c>
      <c r="M113">
        <v>51.783499399999997</v>
      </c>
      <c r="N113">
        <v>-0.89464405400000002</v>
      </c>
      <c r="O113" t="s">
        <v>83</v>
      </c>
    </row>
    <row r="114" spans="1:15" x14ac:dyDescent="0.2">
      <c r="A114" t="s">
        <v>3</v>
      </c>
      <c r="B114" t="s">
        <v>83</v>
      </c>
      <c r="C114" t="s">
        <v>30</v>
      </c>
      <c r="E114">
        <v>0</v>
      </c>
      <c r="F114" t="s">
        <v>153</v>
      </c>
      <c r="G114">
        <v>34</v>
      </c>
      <c r="H114">
        <v>35</v>
      </c>
      <c r="J114">
        <v>1000</v>
      </c>
      <c r="L114" t="s">
        <v>30</v>
      </c>
      <c r="M114">
        <v>51.783499399999997</v>
      </c>
      <c r="N114">
        <v>-0.89464405400000002</v>
      </c>
      <c r="O114" t="s">
        <v>83</v>
      </c>
    </row>
    <row r="115" spans="1:15" x14ac:dyDescent="0.2">
      <c r="A115" t="s">
        <v>166</v>
      </c>
      <c r="B115" t="s">
        <v>83</v>
      </c>
      <c r="C115" t="s">
        <v>30</v>
      </c>
      <c r="E115">
        <v>0</v>
      </c>
      <c r="F115" t="s">
        <v>153</v>
      </c>
      <c r="G115">
        <v>0</v>
      </c>
      <c r="H115">
        <v>52</v>
      </c>
      <c r="I115" t="s">
        <v>154</v>
      </c>
      <c r="J115">
        <v>50000</v>
      </c>
      <c r="L115" t="s">
        <v>30</v>
      </c>
      <c r="M115">
        <v>51.783499399999997</v>
      </c>
      <c r="N115">
        <v>-0.89464405400000002</v>
      </c>
      <c r="O115" t="s">
        <v>83</v>
      </c>
    </row>
    <row r="116" spans="1:15" x14ac:dyDescent="0.2">
      <c r="A116" t="s">
        <v>3</v>
      </c>
      <c r="B116" t="s">
        <v>83</v>
      </c>
      <c r="C116" t="s">
        <v>31</v>
      </c>
      <c r="E116">
        <v>0</v>
      </c>
      <c r="F116" t="s">
        <v>153</v>
      </c>
      <c r="G116">
        <v>28</v>
      </c>
      <c r="H116">
        <v>29</v>
      </c>
      <c r="J116">
        <v>500</v>
      </c>
      <c r="L116" t="s">
        <v>31</v>
      </c>
      <c r="M116">
        <v>48.785892099999998</v>
      </c>
      <c r="N116">
        <v>3.0292059</v>
      </c>
      <c r="O116" t="s">
        <v>83</v>
      </c>
    </row>
    <row r="117" spans="1:15" x14ac:dyDescent="0.2">
      <c r="A117" t="s">
        <v>166</v>
      </c>
      <c r="B117" t="s">
        <v>83</v>
      </c>
      <c r="C117" t="s">
        <v>31</v>
      </c>
      <c r="E117">
        <v>0</v>
      </c>
      <c r="F117" t="s">
        <v>153</v>
      </c>
      <c r="G117">
        <v>0</v>
      </c>
      <c r="H117">
        <v>52</v>
      </c>
      <c r="I117" t="s">
        <v>154</v>
      </c>
      <c r="J117">
        <v>50000</v>
      </c>
      <c r="L117" t="s">
        <v>31</v>
      </c>
      <c r="M117">
        <v>48.785892099999998</v>
      </c>
      <c r="N117">
        <v>3.0292059</v>
      </c>
      <c r="O117" t="s">
        <v>83</v>
      </c>
    </row>
    <row r="118" spans="1:15" x14ac:dyDescent="0.2">
      <c r="A118" t="s">
        <v>3</v>
      </c>
      <c r="B118" t="s">
        <v>83</v>
      </c>
      <c r="C118" t="s">
        <v>32</v>
      </c>
      <c r="E118">
        <v>0</v>
      </c>
      <c r="F118" t="s">
        <v>153</v>
      </c>
      <c r="G118">
        <v>1</v>
      </c>
      <c r="H118">
        <v>2</v>
      </c>
      <c r="J118">
        <v>500</v>
      </c>
      <c r="L118" t="s">
        <v>32</v>
      </c>
      <c r="M118">
        <v>53.6736529</v>
      </c>
      <c r="N118">
        <v>10.2358999</v>
      </c>
      <c r="O118" t="s">
        <v>83</v>
      </c>
    </row>
    <row r="119" spans="1:15" x14ac:dyDescent="0.2">
      <c r="A119" t="s">
        <v>3</v>
      </c>
      <c r="B119" t="s">
        <v>83</v>
      </c>
      <c r="C119" t="s">
        <v>32</v>
      </c>
      <c r="E119">
        <v>0</v>
      </c>
      <c r="F119" t="s">
        <v>153</v>
      </c>
      <c r="G119">
        <v>2</v>
      </c>
      <c r="H119">
        <v>3</v>
      </c>
      <c r="J119">
        <v>500</v>
      </c>
      <c r="L119" t="s">
        <v>32</v>
      </c>
      <c r="M119">
        <v>53.6736529</v>
      </c>
      <c r="N119">
        <v>10.2358999</v>
      </c>
      <c r="O119" t="s">
        <v>83</v>
      </c>
    </row>
    <row r="120" spans="1:15" x14ac:dyDescent="0.2">
      <c r="A120" t="s">
        <v>3</v>
      </c>
      <c r="B120" t="s">
        <v>83</v>
      </c>
      <c r="C120" t="s">
        <v>32</v>
      </c>
      <c r="E120">
        <v>0</v>
      </c>
      <c r="F120" t="s">
        <v>153</v>
      </c>
      <c r="G120">
        <v>3</v>
      </c>
      <c r="H120">
        <v>4</v>
      </c>
      <c r="J120">
        <v>500</v>
      </c>
      <c r="L120" t="s">
        <v>32</v>
      </c>
      <c r="M120">
        <v>53.6736529</v>
      </c>
      <c r="N120">
        <v>10.2358999</v>
      </c>
      <c r="O120" t="s">
        <v>83</v>
      </c>
    </row>
    <row r="121" spans="1:15" x14ac:dyDescent="0.2">
      <c r="A121" t="s">
        <v>3</v>
      </c>
      <c r="B121" t="s">
        <v>83</v>
      </c>
      <c r="C121" t="s">
        <v>32</v>
      </c>
      <c r="E121">
        <v>0</v>
      </c>
      <c r="F121" t="s">
        <v>153</v>
      </c>
      <c r="G121">
        <v>4</v>
      </c>
      <c r="H121">
        <v>5</v>
      </c>
      <c r="J121">
        <v>500</v>
      </c>
      <c r="L121" t="s">
        <v>32</v>
      </c>
      <c r="M121">
        <v>53.6736529</v>
      </c>
      <c r="N121">
        <v>10.2358999</v>
      </c>
      <c r="O121" t="s">
        <v>83</v>
      </c>
    </row>
    <row r="122" spans="1:15" x14ac:dyDescent="0.2">
      <c r="A122" t="s">
        <v>3</v>
      </c>
      <c r="B122" t="s">
        <v>83</v>
      </c>
      <c r="C122" t="s">
        <v>32</v>
      </c>
      <c r="E122">
        <v>0</v>
      </c>
      <c r="F122" t="s">
        <v>153</v>
      </c>
      <c r="G122">
        <v>8</v>
      </c>
      <c r="H122">
        <v>9</v>
      </c>
      <c r="J122">
        <v>500</v>
      </c>
      <c r="L122" t="s">
        <v>32</v>
      </c>
      <c r="M122">
        <v>53.6736529</v>
      </c>
      <c r="N122">
        <v>10.2358999</v>
      </c>
      <c r="O122" t="s">
        <v>83</v>
      </c>
    </row>
    <row r="123" spans="1:15" x14ac:dyDescent="0.2">
      <c r="A123" t="s">
        <v>3</v>
      </c>
      <c r="B123" t="s">
        <v>83</v>
      </c>
      <c r="C123" t="s">
        <v>32</v>
      </c>
      <c r="E123">
        <v>0</v>
      </c>
      <c r="F123" t="s">
        <v>153</v>
      </c>
      <c r="G123">
        <v>9</v>
      </c>
      <c r="H123">
        <v>10</v>
      </c>
      <c r="J123">
        <v>500</v>
      </c>
      <c r="L123" t="s">
        <v>32</v>
      </c>
      <c r="M123">
        <v>53.6736529</v>
      </c>
      <c r="N123">
        <v>10.2358999</v>
      </c>
      <c r="O123" t="s">
        <v>83</v>
      </c>
    </row>
    <row r="124" spans="1:15" x14ac:dyDescent="0.2">
      <c r="A124" t="s">
        <v>3</v>
      </c>
      <c r="B124" t="s">
        <v>83</v>
      </c>
      <c r="C124" t="s">
        <v>32</v>
      </c>
      <c r="E124">
        <v>0</v>
      </c>
      <c r="F124" t="s">
        <v>153</v>
      </c>
      <c r="G124">
        <v>10</v>
      </c>
      <c r="H124">
        <v>11</v>
      </c>
      <c r="J124">
        <v>500</v>
      </c>
      <c r="L124" t="s">
        <v>32</v>
      </c>
      <c r="M124">
        <v>53.6736529</v>
      </c>
      <c r="N124">
        <v>10.2358999</v>
      </c>
      <c r="O124" t="s">
        <v>83</v>
      </c>
    </row>
    <row r="125" spans="1:15" x14ac:dyDescent="0.2">
      <c r="A125" t="s">
        <v>3</v>
      </c>
      <c r="B125" t="s">
        <v>83</v>
      </c>
      <c r="C125" t="s">
        <v>32</v>
      </c>
      <c r="E125">
        <v>0</v>
      </c>
      <c r="F125" t="s">
        <v>153</v>
      </c>
      <c r="G125">
        <v>11</v>
      </c>
      <c r="H125">
        <v>12</v>
      </c>
      <c r="J125">
        <v>500</v>
      </c>
      <c r="L125" t="s">
        <v>32</v>
      </c>
      <c r="M125">
        <v>53.6736529</v>
      </c>
      <c r="N125">
        <v>10.2358999</v>
      </c>
      <c r="O125" t="s">
        <v>83</v>
      </c>
    </row>
    <row r="126" spans="1:15" x14ac:dyDescent="0.2">
      <c r="A126" t="s">
        <v>3</v>
      </c>
      <c r="B126" t="s">
        <v>83</v>
      </c>
      <c r="C126" t="s">
        <v>32</v>
      </c>
      <c r="E126">
        <v>0</v>
      </c>
      <c r="F126" t="s">
        <v>153</v>
      </c>
      <c r="G126">
        <v>12</v>
      </c>
      <c r="H126">
        <v>13</v>
      </c>
      <c r="J126">
        <v>500</v>
      </c>
      <c r="L126" t="s">
        <v>32</v>
      </c>
      <c r="M126">
        <v>53.6736529</v>
      </c>
      <c r="N126">
        <v>10.2358999</v>
      </c>
      <c r="O126" t="s">
        <v>83</v>
      </c>
    </row>
    <row r="127" spans="1:15" x14ac:dyDescent="0.2">
      <c r="A127" t="s">
        <v>3</v>
      </c>
      <c r="B127" t="s">
        <v>83</v>
      </c>
      <c r="C127" t="s">
        <v>32</v>
      </c>
      <c r="E127">
        <v>0</v>
      </c>
      <c r="F127" t="s">
        <v>153</v>
      </c>
      <c r="G127">
        <v>13</v>
      </c>
      <c r="H127">
        <v>14</v>
      </c>
      <c r="J127">
        <v>500</v>
      </c>
      <c r="L127" t="s">
        <v>32</v>
      </c>
      <c r="M127">
        <v>53.6736529</v>
      </c>
      <c r="N127">
        <v>10.2358999</v>
      </c>
      <c r="O127" t="s">
        <v>83</v>
      </c>
    </row>
    <row r="128" spans="1:15" x14ac:dyDescent="0.2">
      <c r="A128" t="s">
        <v>3</v>
      </c>
      <c r="B128" t="s">
        <v>83</v>
      </c>
      <c r="C128" t="s">
        <v>32</v>
      </c>
      <c r="E128">
        <v>0</v>
      </c>
      <c r="F128" t="s">
        <v>153</v>
      </c>
      <c r="G128">
        <v>14</v>
      </c>
      <c r="H128">
        <v>15</v>
      </c>
      <c r="J128">
        <v>500</v>
      </c>
      <c r="L128" t="s">
        <v>32</v>
      </c>
      <c r="M128">
        <v>53.6736529</v>
      </c>
      <c r="N128">
        <v>10.2358999</v>
      </c>
      <c r="O128" t="s">
        <v>83</v>
      </c>
    </row>
    <row r="129" spans="1:15" x14ac:dyDescent="0.2">
      <c r="A129" t="s">
        <v>3</v>
      </c>
      <c r="B129" t="s">
        <v>83</v>
      </c>
      <c r="C129" t="s">
        <v>32</v>
      </c>
      <c r="E129">
        <v>0</v>
      </c>
      <c r="F129" t="s">
        <v>153</v>
      </c>
      <c r="G129">
        <v>15</v>
      </c>
      <c r="H129">
        <v>16</v>
      </c>
      <c r="J129">
        <v>500</v>
      </c>
      <c r="L129" t="s">
        <v>32</v>
      </c>
      <c r="M129">
        <v>53.6736529</v>
      </c>
      <c r="N129">
        <v>10.2358999</v>
      </c>
      <c r="O129" t="s">
        <v>83</v>
      </c>
    </row>
    <row r="130" spans="1:15" x14ac:dyDescent="0.2">
      <c r="A130" t="s">
        <v>3</v>
      </c>
      <c r="B130" t="s">
        <v>83</v>
      </c>
      <c r="C130" t="s">
        <v>32</v>
      </c>
      <c r="E130">
        <v>0</v>
      </c>
      <c r="F130" t="s">
        <v>153</v>
      </c>
      <c r="G130">
        <v>16</v>
      </c>
      <c r="H130">
        <v>17</v>
      </c>
      <c r="J130">
        <v>500</v>
      </c>
      <c r="L130" t="s">
        <v>32</v>
      </c>
      <c r="M130">
        <v>53.6736529</v>
      </c>
      <c r="N130">
        <v>10.2358999</v>
      </c>
      <c r="O130" t="s">
        <v>83</v>
      </c>
    </row>
    <row r="131" spans="1:15" x14ac:dyDescent="0.2">
      <c r="A131" t="s">
        <v>3</v>
      </c>
      <c r="B131" t="s">
        <v>83</v>
      </c>
      <c r="C131" t="s">
        <v>32</v>
      </c>
      <c r="E131">
        <v>0</v>
      </c>
      <c r="F131" t="s">
        <v>153</v>
      </c>
      <c r="G131">
        <v>17</v>
      </c>
      <c r="H131">
        <v>18</v>
      </c>
      <c r="J131">
        <v>500</v>
      </c>
      <c r="L131" t="s">
        <v>32</v>
      </c>
      <c r="M131">
        <v>53.6736529</v>
      </c>
      <c r="N131">
        <v>10.2358999</v>
      </c>
      <c r="O131" t="s">
        <v>83</v>
      </c>
    </row>
    <row r="132" spans="1:15" x14ac:dyDescent="0.2">
      <c r="A132" t="s">
        <v>3</v>
      </c>
      <c r="B132" t="s">
        <v>83</v>
      </c>
      <c r="C132" t="s">
        <v>32</v>
      </c>
      <c r="E132">
        <v>0</v>
      </c>
      <c r="F132" t="s">
        <v>153</v>
      </c>
      <c r="G132">
        <v>18</v>
      </c>
      <c r="H132">
        <v>19</v>
      </c>
      <c r="J132">
        <v>500</v>
      </c>
      <c r="L132" t="s">
        <v>32</v>
      </c>
      <c r="M132">
        <v>53.6736529</v>
      </c>
      <c r="N132">
        <v>10.2358999</v>
      </c>
      <c r="O132" t="s">
        <v>83</v>
      </c>
    </row>
    <row r="133" spans="1:15" x14ac:dyDescent="0.2">
      <c r="A133" t="s">
        <v>3</v>
      </c>
      <c r="B133" t="s">
        <v>83</v>
      </c>
      <c r="C133" t="s">
        <v>32</v>
      </c>
      <c r="E133">
        <v>0</v>
      </c>
      <c r="F133" t="s">
        <v>153</v>
      </c>
      <c r="G133">
        <v>19</v>
      </c>
      <c r="H133">
        <v>20</v>
      </c>
      <c r="J133">
        <v>500</v>
      </c>
      <c r="L133" t="s">
        <v>32</v>
      </c>
      <c r="M133">
        <v>53.6736529</v>
      </c>
      <c r="N133">
        <v>10.2358999</v>
      </c>
      <c r="O133" t="s">
        <v>83</v>
      </c>
    </row>
    <row r="134" spans="1:15" x14ac:dyDescent="0.2">
      <c r="A134" t="s">
        <v>3</v>
      </c>
      <c r="B134" t="s">
        <v>83</v>
      </c>
      <c r="C134" t="s">
        <v>32</v>
      </c>
      <c r="E134">
        <v>0</v>
      </c>
      <c r="F134" t="s">
        <v>153</v>
      </c>
      <c r="G134">
        <v>20</v>
      </c>
      <c r="H134">
        <v>21</v>
      </c>
      <c r="J134">
        <v>500</v>
      </c>
      <c r="L134" t="s">
        <v>32</v>
      </c>
      <c r="M134">
        <v>53.6736529</v>
      </c>
      <c r="N134">
        <v>10.2358999</v>
      </c>
      <c r="O134" t="s">
        <v>83</v>
      </c>
    </row>
    <row r="135" spans="1:15" x14ac:dyDescent="0.2">
      <c r="A135" t="s">
        <v>3</v>
      </c>
      <c r="B135" t="s">
        <v>83</v>
      </c>
      <c r="C135" t="s">
        <v>32</v>
      </c>
      <c r="E135">
        <v>0</v>
      </c>
      <c r="F135" t="s">
        <v>153</v>
      </c>
      <c r="G135">
        <v>21</v>
      </c>
      <c r="H135">
        <v>22</v>
      </c>
      <c r="J135">
        <v>500</v>
      </c>
      <c r="L135" t="s">
        <v>32</v>
      </c>
      <c r="M135">
        <v>53.6736529</v>
      </c>
      <c r="N135">
        <v>10.2358999</v>
      </c>
      <c r="O135" t="s">
        <v>83</v>
      </c>
    </row>
    <row r="136" spans="1:15" x14ac:dyDescent="0.2">
      <c r="A136" t="s">
        <v>3</v>
      </c>
      <c r="B136" t="s">
        <v>83</v>
      </c>
      <c r="C136" t="s">
        <v>32</v>
      </c>
      <c r="E136">
        <v>0</v>
      </c>
      <c r="F136" t="s">
        <v>153</v>
      </c>
      <c r="G136">
        <v>22</v>
      </c>
      <c r="H136">
        <v>23</v>
      </c>
      <c r="J136">
        <v>500</v>
      </c>
      <c r="L136" t="s">
        <v>32</v>
      </c>
      <c r="M136">
        <v>53.6736529</v>
      </c>
      <c r="N136">
        <v>10.2358999</v>
      </c>
      <c r="O136" t="s">
        <v>83</v>
      </c>
    </row>
    <row r="137" spans="1:15" x14ac:dyDescent="0.2">
      <c r="A137" t="s">
        <v>3</v>
      </c>
      <c r="B137" t="s">
        <v>83</v>
      </c>
      <c r="C137" t="s">
        <v>32</v>
      </c>
      <c r="E137">
        <v>0</v>
      </c>
      <c r="F137" t="s">
        <v>153</v>
      </c>
      <c r="G137">
        <v>23</v>
      </c>
      <c r="H137">
        <v>24</v>
      </c>
      <c r="J137">
        <v>500</v>
      </c>
      <c r="L137" t="s">
        <v>32</v>
      </c>
      <c r="M137">
        <v>53.6736529</v>
      </c>
      <c r="N137">
        <v>10.2358999</v>
      </c>
      <c r="O137" t="s">
        <v>83</v>
      </c>
    </row>
    <row r="138" spans="1:15" x14ac:dyDescent="0.2">
      <c r="A138" t="s">
        <v>3</v>
      </c>
      <c r="B138" t="s">
        <v>83</v>
      </c>
      <c r="C138" t="s">
        <v>32</v>
      </c>
      <c r="E138">
        <v>0</v>
      </c>
      <c r="F138" t="s">
        <v>153</v>
      </c>
      <c r="G138">
        <v>24</v>
      </c>
      <c r="H138">
        <v>25</v>
      </c>
      <c r="J138">
        <v>500</v>
      </c>
      <c r="L138" t="s">
        <v>32</v>
      </c>
      <c r="M138">
        <v>53.6736529</v>
      </c>
      <c r="N138">
        <v>10.2358999</v>
      </c>
      <c r="O138" t="s">
        <v>83</v>
      </c>
    </row>
    <row r="139" spans="1:15" x14ac:dyDescent="0.2">
      <c r="A139" t="s">
        <v>3</v>
      </c>
      <c r="B139" t="s">
        <v>83</v>
      </c>
      <c r="C139" t="s">
        <v>32</v>
      </c>
      <c r="E139">
        <v>0</v>
      </c>
      <c r="F139" t="s">
        <v>153</v>
      </c>
      <c r="G139">
        <v>25</v>
      </c>
      <c r="H139">
        <v>26</v>
      </c>
      <c r="J139">
        <v>500</v>
      </c>
      <c r="L139" t="s">
        <v>32</v>
      </c>
      <c r="M139">
        <v>53.6736529</v>
      </c>
      <c r="N139">
        <v>10.2358999</v>
      </c>
      <c r="O139" t="s">
        <v>83</v>
      </c>
    </row>
    <row r="140" spans="1:15" x14ac:dyDescent="0.2">
      <c r="A140" t="s">
        <v>3</v>
      </c>
      <c r="B140" t="s">
        <v>83</v>
      </c>
      <c r="C140" t="s">
        <v>32</v>
      </c>
      <c r="E140">
        <v>0</v>
      </c>
      <c r="F140" t="s">
        <v>153</v>
      </c>
      <c r="G140">
        <v>26</v>
      </c>
      <c r="H140">
        <v>27</v>
      </c>
      <c r="J140">
        <v>500</v>
      </c>
      <c r="L140" t="s">
        <v>32</v>
      </c>
      <c r="M140">
        <v>53.6736529</v>
      </c>
      <c r="N140">
        <v>10.2358999</v>
      </c>
      <c r="O140" t="s">
        <v>83</v>
      </c>
    </row>
    <row r="141" spans="1:15" x14ac:dyDescent="0.2">
      <c r="A141" t="s">
        <v>3</v>
      </c>
      <c r="B141" t="s">
        <v>83</v>
      </c>
      <c r="C141" t="s">
        <v>32</v>
      </c>
      <c r="E141">
        <v>0</v>
      </c>
      <c r="F141" t="s">
        <v>153</v>
      </c>
      <c r="G141">
        <v>27</v>
      </c>
      <c r="H141">
        <v>28</v>
      </c>
      <c r="J141">
        <v>500</v>
      </c>
      <c r="L141" t="s">
        <v>32</v>
      </c>
      <c r="M141">
        <v>53.6736529</v>
      </c>
      <c r="N141">
        <v>10.2358999</v>
      </c>
      <c r="O141" t="s">
        <v>83</v>
      </c>
    </row>
    <row r="142" spans="1:15" x14ac:dyDescent="0.2">
      <c r="A142" t="s">
        <v>3</v>
      </c>
      <c r="B142" t="s">
        <v>83</v>
      </c>
      <c r="C142" t="s">
        <v>32</v>
      </c>
      <c r="E142">
        <v>0</v>
      </c>
      <c r="F142" t="s">
        <v>153</v>
      </c>
      <c r="G142">
        <v>28</v>
      </c>
      <c r="H142">
        <v>29</v>
      </c>
      <c r="J142">
        <v>500</v>
      </c>
      <c r="L142" t="s">
        <v>32</v>
      </c>
      <c r="M142">
        <v>53.6736529</v>
      </c>
      <c r="N142">
        <v>10.2358999</v>
      </c>
      <c r="O142" t="s">
        <v>83</v>
      </c>
    </row>
    <row r="143" spans="1:15" x14ac:dyDescent="0.2">
      <c r="A143" t="s">
        <v>3</v>
      </c>
      <c r="B143" t="s">
        <v>83</v>
      </c>
      <c r="C143" t="s">
        <v>32</v>
      </c>
      <c r="E143">
        <v>0</v>
      </c>
      <c r="F143" t="s">
        <v>153</v>
      </c>
      <c r="G143">
        <v>29</v>
      </c>
      <c r="H143">
        <v>30</v>
      </c>
      <c r="J143">
        <v>500</v>
      </c>
      <c r="L143" t="s">
        <v>32</v>
      </c>
      <c r="M143">
        <v>53.6736529</v>
      </c>
      <c r="N143">
        <v>10.2358999</v>
      </c>
      <c r="O143" t="s">
        <v>83</v>
      </c>
    </row>
    <row r="144" spans="1:15" x14ac:dyDescent="0.2">
      <c r="A144" t="s">
        <v>3</v>
      </c>
      <c r="B144" t="s">
        <v>83</v>
      </c>
      <c r="C144" t="s">
        <v>32</v>
      </c>
      <c r="E144">
        <v>0</v>
      </c>
      <c r="F144" t="s">
        <v>153</v>
      </c>
      <c r="G144">
        <v>30</v>
      </c>
      <c r="H144">
        <v>31</v>
      </c>
      <c r="J144">
        <v>500</v>
      </c>
      <c r="L144" t="s">
        <v>32</v>
      </c>
      <c r="M144">
        <v>53.6736529</v>
      </c>
      <c r="N144">
        <v>10.2358999</v>
      </c>
      <c r="O144" t="s">
        <v>83</v>
      </c>
    </row>
    <row r="145" spans="1:15" x14ac:dyDescent="0.2">
      <c r="A145" t="s">
        <v>3</v>
      </c>
      <c r="B145" t="s">
        <v>83</v>
      </c>
      <c r="C145" t="s">
        <v>32</v>
      </c>
      <c r="E145">
        <v>0</v>
      </c>
      <c r="F145" t="s">
        <v>153</v>
      </c>
      <c r="G145">
        <v>31</v>
      </c>
      <c r="H145">
        <v>32</v>
      </c>
      <c r="J145">
        <v>500</v>
      </c>
      <c r="L145" t="s">
        <v>32</v>
      </c>
      <c r="M145">
        <v>53.6736529</v>
      </c>
      <c r="N145">
        <v>10.2358999</v>
      </c>
      <c r="O145" t="s">
        <v>83</v>
      </c>
    </row>
    <row r="146" spans="1:15" x14ac:dyDescent="0.2">
      <c r="A146" t="s">
        <v>3</v>
      </c>
      <c r="B146" t="s">
        <v>83</v>
      </c>
      <c r="C146" t="s">
        <v>32</v>
      </c>
      <c r="E146">
        <v>0</v>
      </c>
      <c r="F146" t="s">
        <v>153</v>
      </c>
      <c r="G146">
        <v>32</v>
      </c>
      <c r="H146">
        <v>33</v>
      </c>
      <c r="J146">
        <v>500</v>
      </c>
      <c r="L146" t="s">
        <v>32</v>
      </c>
      <c r="M146">
        <v>53.6736529</v>
      </c>
      <c r="N146">
        <v>10.2358999</v>
      </c>
      <c r="O146" t="s">
        <v>83</v>
      </c>
    </row>
    <row r="147" spans="1:15" x14ac:dyDescent="0.2">
      <c r="A147" t="s">
        <v>3</v>
      </c>
      <c r="B147" t="s">
        <v>83</v>
      </c>
      <c r="C147" t="s">
        <v>32</v>
      </c>
      <c r="E147">
        <v>0</v>
      </c>
      <c r="F147" t="s">
        <v>153</v>
      </c>
      <c r="G147">
        <v>33</v>
      </c>
      <c r="H147">
        <v>34</v>
      </c>
      <c r="J147">
        <v>500</v>
      </c>
      <c r="L147" t="s">
        <v>32</v>
      </c>
      <c r="M147">
        <v>53.6736529</v>
      </c>
      <c r="N147">
        <v>10.2358999</v>
      </c>
      <c r="O147" t="s">
        <v>83</v>
      </c>
    </row>
    <row r="148" spans="1:15" x14ac:dyDescent="0.2">
      <c r="A148" t="s">
        <v>3</v>
      </c>
      <c r="B148" t="s">
        <v>83</v>
      </c>
      <c r="C148" t="s">
        <v>32</v>
      </c>
      <c r="E148">
        <v>0</v>
      </c>
      <c r="F148" t="s">
        <v>153</v>
      </c>
      <c r="G148">
        <v>35</v>
      </c>
      <c r="H148">
        <v>36</v>
      </c>
      <c r="J148">
        <v>500</v>
      </c>
      <c r="L148" t="s">
        <v>32</v>
      </c>
      <c r="M148">
        <v>53.6736529</v>
      </c>
      <c r="N148">
        <v>10.2358999</v>
      </c>
      <c r="O148" t="s">
        <v>83</v>
      </c>
    </row>
    <row r="149" spans="1:15" x14ac:dyDescent="0.2">
      <c r="A149" t="s">
        <v>3</v>
      </c>
      <c r="B149" t="s">
        <v>83</v>
      </c>
      <c r="C149" t="s">
        <v>32</v>
      </c>
      <c r="E149">
        <v>0</v>
      </c>
      <c r="F149" t="s">
        <v>153</v>
      </c>
      <c r="G149">
        <v>36</v>
      </c>
      <c r="H149">
        <v>37</v>
      </c>
      <c r="J149">
        <v>500</v>
      </c>
      <c r="L149" t="s">
        <v>32</v>
      </c>
      <c r="M149">
        <v>53.6736529</v>
      </c>
      <c r="N149">
        <v>10.2358999</v>
      </c>
      <c r="O149" t="s">
        <v>83</v>
      </c>
    </row>
    <row r="150" spans="1:15" x14ac:dyDescent="0.2">
      <c r="A150" t="s">
        <v>3</v>
      </c>
      <c r="B150" t="s">
        <v>83</v>
      </c>
      <c r="C150" t="s">
        <v>32</v>
      </c>
      <c r="E150">
        <v>0</v>
      </c>
      <c r="F150" t="s">
        <v>153</v>
      </c>
      <c r="G150">
        <v>37</v>
      </c>
      <c r="H150">
        <v>38</v>
      </c>
      <c r="J150">
        <v>500</v>
      </c>
      <c r="L150" t="s">
        <v>32</v>
      </c>
      <c r="M150">
        <v>53.6736529</v>
      </c>
      <c r="N150">
        <v>10.2358999</v>
      </c>
      <c r="O150" t="s">
        <v>83</v>
      </c>
    </row>
    <row r="151" spans="1:15" x14ac:dyDescent="0.2">
      <c r="A151" t="s">
        <v>3</v>
      </c>
      <c r="B151" t="s">
        <v>83</v>
      </c>
      <c r="C151" t="s">
        <v>32</v>
      </c>
      <c r="E151">
        <v>0</v>
      </c>
      <c r="F151" t="s">
        <v>153</v>
      </c>
      <c r="G151">
        <v>38</v>
      </c>
      <c r="H151">
        <v>39</v>
      </c>
      <c r="J151">
        <v>500</v>
      </c>
      <c r="L151" t="s">
        <v>32</v>
      </c>
      <c r="M151">
        <v>53.6736529</v>
      </c>
      <c r="N151">
        <v>10.2358999</v>
      </c>
      <c r="O151" t="s">
        <v>83</v>
      </c>
    </row>
    <row r="152" spans="1:15" x14ac:dyDescent="0.2">
      <c r="A152" t="s">
        <v>3</v>
      </c>
      <c r="B152" t="s">
        <v>83</v>
      </c>
      <c r="C152" t="s">
        <v>32</v>
      </c>
      <c r="E152">
        <v>0</v>
      </c>
      <c r="F152" t="s">
        <v>153</v>
      </c>
      <c r="G152">
        <v>39</v>
      </c>
      <c r="H152">
        <v>40</v>
      </c>
      <c r="J152">
        <v>500</v>
      </c>
      <c r="L152" t="s">
        <v>32</v>
      </c>
      <c r="M152">
        <v>53.6736529</v>
      </c>
      <c r="N152">
        <v>10.2358999</v>
      </c>
      <c r="O152" t="s">
        <v>83</v>
      </c>
    </row>
    <row r="153" spans="1:15" x14ac:dyDescent="0.2">
      <c r="A153" t="s">
        <v>3</v>
      </c>
      <c r="B153" t="s">
        <v>83</v>
      </c>
      <c r="C153" t="s">
        <v>32</v>
      </c>
      <c r="E153">
        <v>0</v>
      </c>
      <c r="F153" t="s">
        <v>153</v>
      </c>
      <c r="G153">
        <v>40</v>
      </c>
      <c r="H153">
        <v>41</v>
      </c>
      <c r="J153">
        <v>500</v>
      </c>
      <c r="L153" t="s">
        <v>32</v>
      </c>
      <c r="M153">
        <v>53.6736529</v>
      </c>
      <c r="N153">
        <v>10.2358999</v>
      </c>
      <c r="O153" t="s">
        <v>83</v>
      </c>
    </row>
    <row r="154" spans="1:15" x14ac:dyDescent="0.2">
      <c r="A154" t="s">
        <v>3</v>
      </c>
      <c r="B154" t="s">
        <v>83</v>
      </c>
      <c r="C154" t="s">
        <v>32</v>
      </c>
      <c r="E154">
        <v>0</v>
      </c>
      <c r="F154" t="s">
        <v>153</v>
      </c>
      <c r="G154">
        <v>41</v>
      </c>
      <c r="H154">
        <v>42</v>
      </c>
      <c r="J154">
        <v>500</v>
      </c>
      <c r="L154" t="s">
        <v>32</v>
      </c>
      <c r="M154">
        <v>53.6736529</v>
      </c>
      <c r="N154">
        <v>10.2358999</v>
      </c>
      <c r="O154" t="s">
        <v>83</v>
      </c>
    </row>
    <row r="155" spans="1:15" x14ac:dyDescent="0.2">
      <c r="A155" t="s">
        <v>3</v>
      </c>
      <c r="B155" t="s">
        <v>83</v>
      </c>
      <c r="C155" t="s">
        <v>32</v>
      </c>
      <c r="E155">
        <v>0</v>
      </c>
      <c r="F155" t="s">
        <v>153</v>
      </c>
      <c r="G155">
        <v>42</v>
      </c>
      <c r="H155">
        <v>43</v>
      </c>
      <c r="J155">
        <v>500</v>
      </c>
      <c r="L155" t="s">
        <v>32</v>
      </c>
      <c r="M155">
        <v>53.6736529</v>
      </c>
      <c r="N155">
        <v>10.2358999</v>
      </c>
      <c r="O155" t="s">
        <v>83</v>
      </c>
    </row>
    <row r="156" spans="1:15" x14ac:dyDescent="0.2">
      <c r="A156" t="s">
        <v>3</v>
      </c>
      <c r="B156" t="s">
        <v>83</v>
      </c>
      <c r="C156" t="s">
        <v>32</v>
      </c>
      <c r="E156">
        <v>0</v>
      </c>
      <c r="F156" t="s">
        <v>153</v>
      </c>
      <c r="G156">
        <v>43</v>
      </c>
      <c r="H156">
        <v>44</v>
      </c>
      <c r="J156">
        <v>500</v>
      </c>
      <c r="L156" t="s">
        <v>32</v>
      </c>
      <c r="M156">
        <v>53.6736529</v>
      </c>
      <c r="N156">
        <v>10.2358999</v>
      </c>
      <c r="O156" t="s">
        <v>83</v>
      </c>
    </row>
    <row r="157" spans="1:15" x14ac:dyDescent="0.2">
      <c r="A157" t="s">
        <v>3</v>
      </c>
      <c r="B157" t="s">
        <v>83</v>
      </c>
      <c r="C157" t="s">
        <v>32</v>
      </c>
      <c r="E157">
        <v>0</v>
      </c>
      <c r="F157" t="s">
        <v>153</v>
      </c>
      <c r="G157">
        <v>44</v>
      </c>
      <c r="H157">
        <v>45</v>
      </c>
      <c r="J157">
        <v>500</v>
      </c>
      <c r="L157" t="s">
        <v>32</v>
      </c>
      <c r="M157">
        <v>53.6736529</v>
      </c>
      <c r="N157">
        <v>10.2358999</v>
      </c>
      <c r="O157" t="s">
        <v>83</v>
      </c>
    </row>
    <row r="158" spans="1:15" x14ac:dyDescent="0.2">
      <c r="A158" t="s">
        <v>3</v>
      </c>
      <c r="B158" t="s">
        <v>83</v>
      </c>
      <c r="C158" t="s">
        <v>32</v>
      </c>
      <c r="E158">
        <v>0</v>
      </c>
      <c r="F158" t="s">
        <v>153</v>
      </c>
      <c r="G158">
        <v>45</v>
      </c>
      <c r="H158">
        <v>46</v>
      </c>
      <c r="J158">
        <v>500</v>
      </c>
      <c r="L158" t="s">
        <v>32</v>
      </c>
      <c r="M158">
        <v>53.6736529</v>
      </c>
      <c r="N158">
        <v>10.2358999</v>
      </c>
      <c r="O158" t="s">
        <v>83</v>
      </c>
    </row>
    <row r="159" spans="1:15" x14ac:dyDescent="0.2">
      <c r="A159" t="s">
        <v>3</v>
      </c>
      <c r="B159" t="s">
        <v>83</v>
      </c>
      <c r="C159" t="s">
        <v>32</v>
      </c>
      <c r="E159">
        <v>0</v>
      </c>
      <c r="F159" t="s">
        <v>153</v>
      </c>
      <c r="G159">
        <v>46</v>
      </c>
      <c r="H159">
        <v>47</v>
      </c>
      <c r="J159">
        <v>500</v>
      </c>
      <c r="L159" t="s">
        <v>32</v>
      </c>
      <c r="M159">
        <v>53.6736529</v>
      </c>
      <c r="N159">
        <v>10.2358999</v>
      </c>
      <c r="O159" t="s">
        <v>83</v>
      </c>
    </row>
    <row r="160" spans="1:15" x14ac:dyDescent="0.2">
      <c r="A160" t="s">
        <v>3</v>
      </c>
      <c r="B160" t="s">
        <v>83</v>
      </c>
      <c r="C160" t="s">
        <v>32</v>
      </c>
      <c r="E160">
        <v>0</v>
      </c>
      <c r="F160" t="s">
        <v>153</v>
      </c>
      <c r="G160">
        <v>47</v>
      </c>
      <c r="H160">
        <v>48</v>
      </c>
      <c r="J160">
        <v>500</v>
      </c>
      <c r="L160" t="s">
        <v>32</v>
      </c>
      <c r="M160">
        <v>53.6736529</v>
      </c>
      <c r="N160">
        <v>10.2358999</v>
      </c>
      <c r="O160" t="s">
        <v>83</v>
      </c>
    </row>
    <row r="161" spans="1:15" x14ac:dyDescent="0.2">
      <c r="A161" t="s">
        <v>3</v>
      </c>
      <c r="B161" t="s">
        <v>83</v>
      </c>
      <c r="C161" t="s">
        <v>32</v>
      </c>
      <c r="E161">
        <v>0</v>
      </c>
      <c r="F161" t="s">
        <v>153</v>
      </c>
      <c r="G161">
        <v>48</v>
      </c>
      <c r="H161">
        <v>49</v>
      </c>
      <c r="J161">
        <v>500</v>
      </c>
      <c r="L161" t="s">
        <v>32</v>
      </c>
      <c r="M161">
        <v>53.6736529</v>
      </c>
      <c r="N161">
        <v>10.2358999</v>
      </c>
      <c r="O161" t="s">
        <v>83</v>
      </c>
    </row>
    <row r="162" spans="1:15" x14ac:dyDescent="0.2">
      <c r="A162" t="s">
        <v>166</v>
      </c>
      <c r="B162" t="s">
        <v>83</v>
      </c>
      <c r="C162" t="s">
        <v>32</v>
      </c>
      <c r="E162">
        <v>0</v>
      </c>
      <c r="F162" t="s">
        <v>153</v>
      </c>
      <c r="G162">
        <v>0</v>
      </c>
      <c r="H162">
        <v>52</v>
      </c>
      <c r="I162" t="s">
        <v>154</v>
      </c>
      <c r="J162">
        <v>50000</v>
      </c>
      <c r="L162" t="s">
        <v>32</v>
      </c>
      <c r="M162">
        <v>53.6736529</v>
      </c>
      <c r="N162">
        <v>10.2358999</v>
      </c>
      <c r="O162" t="s">
        <v>83</v>
      </c>
    </row>
    <row r="163" spans="1:15" x14ac:dyDescent="0.2">
      <c r="A163" t="s">
        <v>3</v>
      </c>
      <c r="B163" t="s">
        <v>83</v>
      </c>
      <c r="C163" t="s">
        <v>33</v>
      </c>
      <c r="E163">
        <v>0</v>
      </c>
      <c r="F163" t="s">
        <v>153</v>
      </c>
      <c r="G163">
        <v>7</v>
      </c>
      <c r="H163">
        <v>8</v>
      </c>
      <c r="J163">
        <v>500</v>
      </c>
      <c r="L163" t="s">
        <v>33</v>
      </c>
      <c r="M163">
        <v>54.898213900000002</v>
      </c>
      <c r="N163">
        <v>23.904481700000002</v>
      </c>
      <c r="O163" t="s">
        <v>83</v>
      </c>
    </row>
    <row r="164" spans="1:15" x14ac:dyDescent="0.2">
      <c r="A164" t="s">
        <v>3</v>
      </c>
      <c r="B164" t="s">
        <v>83</v>
      </c>
      <c r="C164" t="s">
        <v>33</v>
      </c>
      <c r="E164">
        <v>0</v>
      </c>
      <c r="F164" t="s">
        <v>153</v>
      </c>
      <c r="G164">
        <v>9</v>
      </c>
      <c r="H164">
        <v>10</v>
      </c>
      <c r="J164">
        <v>500</v>
      </c>
      <c r="L164" t="s">
        <v>33</v>
      </c>
      <c r="M164">
        <v>54.898213900000002</v>
      </c>
      <c r="N164">
        <v>23.904481700000002</v>
      </c>
      <c r="O164" t="s">
        <v>83</v>
      </c>
    </row>
    <row r="165" spans="1:15" x14ac:dyDescent="0.2">
      <c r="A165" t="s">
        <v>3</v>
      </c>
      <c r="B165" t="s">
        <v>83</v>
      </c>
      <c r="C165" t="s">
        <v>33</v>
      </c>
      <c r="E165">
        <v>0</v>
      </c>
      <c r="F165" t="s">
        <v>153</v>
      </c>
      <c r="G165">
        <v>14</v>
      </c>
      <c r="H165">
        <v>15</v>
      </c>
      <c r="J165">
        <v>500</v>
      </c>
      <c r="L165" t="s">
        <v>33</v>
      </c>
      <c r="M165">
        <v>54.898213900000002</v>
      </c>
      <c r="N165">
        <v>23.904481700000002</v>
      </c>
      <c r="O165" t="s">
        <v>83</v>
      </c>
    </row>
    <row r="166" spans="1:15" x14ac:dyDescent="0.2">
      <c r="A166" t="s">
        <v>3</v>
      </c>
      <c r="B166" t="s">
        <v>83</v>
      </c>
      <c r="C166" t="s">
        <v>33</v>
      </c>
      <c r="E166">
        <v>0</v>
      </c>
      <c r="F166" t="s">
        <v>153</v>
      </c>
      <c r="G166">
        <v>16</v>
      </c>
      <c r="H166">
        <v>17</v>
      </c>
      <c r="J166">
        <v>500</v>
      </c>
      <c r="L166" t="s">
        <v>33</v>
      </c>
      <c r="M166">
        <v>54.898213900000002</v>
      </c>
      <c r="N166">
        <v>23.904481700000002</v>
      </c>
      <c r="O166" t="s">
        <v>83</v>
      </c>
    </row>
    <row r="167" spans="1:15" x14ac:dyDescent="0.2">
      <c r="A167" t="s">
        <v>3</v>
      </c>
      <c r="B167" t="s">
        <v>83</v>
      </c>
      <c r="C167" t="s">
        <v>33</v>
      </c>
      <c r="E167">
        <v>0</v>
      </c>
      <c r="F167" t="s">
        <v>153</v>
      </c>
      <c r="G167">
        <v>21</v>
      </c>
      <c r="H167">
        <v>22</v>
      </c>
      <c r="J167">
        <v>500</v>
      </c>
      <c r="L167" t="s">
        <v>33</v>
      </c>
      <c r="M167">
        <v>54.898213900000002</v>
      </c>
      <c r="N167">
        <v>23.904481700000002</v>
      </c>
      <c r="O167" t="s">
        <v>83</v>
      </c>
    </row>
    <row r="168" spans="1:15" x14ac:dyDescent="0.2">
      <c r="A168" t="s">
        <v>3</v>
      </c>
      <c r="B168" t="s">
        <v>83</v>
      </c>
      <c r="C168" t="s">
        <v>33</v>
      </c>
      <c r="E168">
        <v>0</v>
      </c>
      <c r="F168" t="s">
        <v>153</v>
      </c>
      <c r="G168">
        <v>22</v>
      </c>
      <c r="H168">
        <v>23</v>
      </c>
      <c r="J168">
        <v>500</v>
      </c>
      <c r="L168" t="s">
        <v>33</v>
      </c>
      <c r="M168">
        <v>54.898213900000002</v>
      </c>
      <c r="N168">
        <v>23.904481700000002</v>
      </c>
      <c r="O168" t="s">
        <v>83</v>
      </c>
    </row>
    <row r="169" spans="1:15" x14ac:dyDescent="0.2">
      <c r="A169" t="s">
        <v>3</v>
      </c>
      <c r="B169" t="s">
        <v>83</v>
      </c>
      <c r="C169" t="s">
        <v>33</v>
      </c>
      <c r="E169">
        <v>0</v>
      </c>
      <c r="F169" t="s">
        <v>153</v>
      </c>
      <c r="G169">
        <v>29</v>
      </c>
      <c r="H169">
        <v>30</v>
      </c>
      <c r="J169">
        <v>500</v>
      </c>
      <c r="L169" t="s">
        <v>33</v>
      </c>
      <c r="M169">
        <v>54.898213900000002</v>
      </c>
      <c r="N169">
        <v>23.904481700000002</v>
      </c>
      <c r="O169" t="s">
        <v>83</v>
      </c>
    </row>
    <row r="170" spans="1:15" x14ac:dyDescent="0.2">
      <c r="A170" t="s">
        <v>3</v>
      </c>
      <c r="B170" t="s">
        <v>83</v>
      </c>
      <c r="C170" t="s">
        <v>33</v>
      </c>
      <c r="E170">
        <v>0</v>
      </c>
      <c r="F170" t="s">
        <v>153</v>
      </c>
      <c r="G170">
        <v>30</v>
      </c>
      <c r="H170">
        <v>31</v>
      </c>
      <c r="J170">
        <v>500</v>
      </c>
      <c r="L170" t="s">
        <v>33</v>
      </c>
      <c r="M170">
        <v>54.898213900000002</v>
      </c>
      <c r="N170">
        <v>23.904481700000002</v>
      </c>
      <c r="O170" t="s">
        <v>83</v>
      </c>
    </row>
    <row r="171" spans="1:15" x14ac:dyDescent="0.2">
      <c r="A171" t="s">
        <v>3</v>
      </c>
      <c r="B171" t="s">
        <v>83</v>
      </c>
      <c r="C171" t="s">
        <v>33</v>
      </c>
      <c r="E171">
        <v>0</v>
      </c>
      <c r="F171" t="s">
        <v>153</v>
      </c>
      <c r="G171">
        <v>31</v>
      </c>
      <c r="H171">
        <v>32</v>
      </c>
      <c r="J171">
        <v>500</v>
      </c>
      <c r="L171" t="s">
        <v>33</v>
      </c>
      <c r="M171">
        <v>54.898213900000002</v>
      </c>
      <c r="N171">
        <v>23.904481700000002</v>
      </c>
      <c r="O171" t="s">
        <v>83</v>
      </c>
    </row>
    <row r="172" spans="1:15" x14ac:dyDescent="0.2">
      <c r="A172" t="s">
        <v>3</v>
      </c>
      <c r="B172" t="s">
        <v>83</v>
      </c>
      <c r="C172" t="s">
        <v>33</v>
      </c>
      <c r="E172">
        <v>0</v>
      </c>
      <c r="F172" t="s">
        <v>153</v>
      </c>
      <c r="G172">
        <v>35</v>
      </c>
      <c r="H172">
        <v>36</v>
      </c>
      <c r="J172">
        <v>1000</v>
      </c>
      <c r="L172" t="s">
        <v>33</v>
      </c>
      <c r="M172">
        <v>54.898213900000002</v>
      </c>
      <c r="N172">
        <v>23.904481700000002</v>
      </c>
      <c r="O172" t="s">
        <v>83</v>
      </c>
    </row>
    <row r="173" spans="1:15" x14ac:dyDescent="0.2">
      <c r="A173" t="s">
        <v>3</v>
      </c>
      <c r="B173" t="s">
        <v>83</v>
      </c>
      <c r="C173" t="s">
        <v>33</v>
      </c>
      <c r="E173">
        <v>0</v>
      </c>
      <c r="F173" t="s">
        <v>153</v>
      </c>
      <c r="G173">
        <v>36</v>
      </c>
      <c r="H173">
        <v>37</v>
      </c>
      <c r="J173">
        <v>1000</v>
      </c>
      <c r="L173" t="s">
        <v>33</v>
      </c>
      <c r="M173">
        <v>54.898213900000002</v>
      </c>
      <c r="N173">
        <v>23.904481700000002</v>
      </c>
      <c r="O173" t="s">
        <v>83</v>
      </c>
    </row>
    <row r="174" spans="1:15" x14ac:dyDescent="0.2">
      <c r="A174" t="s">
        <v>3</v>
      </c>
      <c r="B174" t="s">
        <v>83</v>
      </c>
      <c r="C174" t="s">
        <v>33</v>
      </c>
      <c r="E174">
        <v>0</v>
      </c>
      <c r="F174" t="s">
        <v>153</v>
      </c>
      <c r="G174">
        <v>38</v>
      </c>
      <c r="H174">
        <v>39</v>
      </c>
      <c r="J174">
        <v>1500</v>
      </c>
      <c r="L174" t="s">
        <v>33</v>
      </c>
      <c r="M174">
        <v>54.898213900000002</v>
      </c>
      <c r="N174">
        <v>23.904481700000002</v>
      </c>
      <c r="O174" t="s">
        <v>83</v>
      </c>
    </row>
    <row r="175" spans="1:15" x14ac:dyDescent="0.2">
      <c r="A175" t="s">
        <v>3</v>
      </c>
      <c r="B175" t="s">
        <v>83</v>
      </c>
      <c r="C175" t="s">
        <v>33</v>
      </c>
      <c r="E175">
        <v>0</v>
      </c>
      <c r="F175" t="s">
        <v>153</v>
      </c>
      <c r="G175">
        <v>40</v>
      </c>
      <c r="H175">
        <v>41</v>
      </c>
      <c r="J175">
        <v>500</v>
      </c>
      <c r="L175" t="s">
        <v>33</v>
      </c>
      <c r="M175">
        <v>54.898213900000002</v>
      </c>
      <c r="N175">
        <v>23.904481700000002</v>
      </c>
      <c r="O175" t="s">
        <v>83</v>
      </c>
    </row>
    <row r="176" spans="1:15" x14ac:dyDescent="0.2">
      <c r="A176" t="s">
        <v>3</v>
      </c>
      <c r="B176" t="s">
        <v>83</v>
      </c>
      <c r="C176" t="s">
        <v>33</v>
      </c>
      <c r="E176">
        <v>0</v>
      </c>
      <c r="F176" t="s">
        <v>153</v>
      </c>
      <c r="G176">
        <v>41</v>
      </c>
      <c r="H176">
        <v>42</v>
      </c>
      <c r="J176">
        <v>1500</v>
      </c>
      <c r="L176" t="s">
        <v>33</v>
      </c>
      <c r="M176">
        <v>54.898213900000002</v>
      </c>
      <c r="N176">
        <v>23.904481700000002</v>
      </c>
      <c r="O176" t="s">
        <v>83</v>
      </c>
    </row>
    <row r="177" spans="1:15" x14ac:dyDescent="0.2">
      <c r="A177" t="s">
        <v>3</v>
      </c>
      <c r="B177" t="s">
        <v>83</v>
      </c>
      <c r="C177" t="s">
        <v>33</v>
      </c>
      <c r="E177">
        <v>0</v>
      </c>
      <c r="F177" t="s">
        <v>153</v>
      </c>
      <c r="G177">
        <v>42</v>
      </c>
      <c r="H177">
        <v>43</v>
      </c>
      <c r="J177">
        <v>1000</v>
      </c>
      <c r="L177" t="s">
        <v>33</v>
      </c>
      <c r="M177">
        <v>54.898213900000002</v>
      </c>
      <c r="N177">
        <v>23.904481700000002</v>
      </c>
      <c r="O177" t="s">
        <v>83</v>
      </c>
    </row>
    <row r="178" spans="1:15" x14ac:dyDescent="0.2">
      <c r="A178" t="s">
        <v>3</v>
      </c>
      <c r="B178" t="s">
        <v>83</v>
      </c>
      <c r="C178" t="s">
        <v>33</v>
      </c>
      <c r="E178">
        <v>0</v>
      </c>
      <c r="F178" t="s">
        <v>153</v>
      </c>
      <c r="G178">
        <v>43</v>
      </c>
      <c r="H178">
        <v>44</v>
      </c>
      <c r="J178">
        <v>1000</v>
      </c>
      <c r="L178" t="s">
        <v>33</v>
      </c>
      <c r="M178">
        <v>54.898213900000002</v>
      </c>
      <c r="N178">
        <v>23.904481700000002</v>
      </c>
      <c r="O178" t="s">
        <v>83</v>
      </c>
    </row>
    <row r="179" spans="1:15" x14ac:dyDescent="0.2">
      <c r="A179" t="s">
        <v>3</v>
      </c>
      <c r="B179" t="s">
        <v>83</v>
      </c>
      <c r="C179" t="s">
        <v>33</v>
      </c>
      <c r="E179">
        <v>0</v>
      </c>
      <c r="F179" t="s">
        <v>153</v>
      </c>
      <c r="G179">
        <v>44</v>
      </c>
      <c r="H179">
        <v>45</v>
      </c>
      <c r="J179">
        <v>500</v>
      </c>
      <c r="L179" t="s">
        <v>33</v>
      </c>
      <c r="M179">
        <v>54.898213900000002</v>
      </c>
      <c r="N179">
        <v>23.904481700000002</v>
      </c>
      <c r="O179" t="s">
        <v>83</v>
      </c>
    </row>
    <row r="180" spans="1:15" x14ac:dyDescent="0.2">
      <c r="A180" t="s">
        <v>3</v>
      </c>
      <c r="B180" t="s">
        <v>83</v>
      </c>
      <c r="C180" t="s">
        <v>33</v>
      </c>
      <c r="E180">
        <v>0</v>
      </c>
      <c r="F180" t="s">
        <v>153</v>
      </c>
      <c r="G180">
        <v>47</v>
      </c>
      <c r="H180">
        <v>48</v>
      </c>
      <c r="J180">
        <v>500</v>
      </c>
      <c r="L180" t="s">
        <v>33</v>
      </c>
      <c r="M180">
        <v>54.898213900000002</v>
      </c>
      <c r="N180">
        <v>23.904481700000002</v>
      </c>
      <c r="O180" t="s">
        <v>83</v>
      </c>
    </row>
    <row r="181" spans="1:15" x14ac:dyDescent="0.2">
      <c r="A181" t="s">
        <v>166</v>
      </c>
      <c r="B181" t="s">
        <v>83</v>
      </c>
      <c r="C181" t="s">
        <v>33</v>
      </c>
      <c r="E181">
        <v>0</v>
      </c>
      <c r="F181" t="s">
        <v>153</v>
      </c>
      <c r="G181">
        <v>0</v>
      </c>
      <c r="H181">
        <v>52</v>
      </c>
      <c r="I181" t="s">
        <v>154</v>
      </c>
      <c r="J181">
        <v>50000</v>
      </c>
      <c r="L181" t="s">
        <v>33</v>
      </c>
      <c r="M181">
        <v>54.898213900000002</v>
      </c>
      <c r="N181">
        <v>23.904481700000002</v>
      </c>
      <c r="O181" t="s">
        <v>83</v>
      </c>
    </row>
    <row r="182" spans="1:15" x14ac:dyDescent="0.2">
      <c r="A182" t="s">
        <v>3</v>
      </c>
      <c r="B182" t="s">
        <v>83</v>
      </c>
      <c r="C182" t="s">
        <v>34</v>
      </c>
      <c r="E182">
        <v>0</v>
      </c>
      <c r="F182" t="s">
        <v>153</v>
      </c>
      <c r="G182">
        <v>47</v>
      </c>
      <c r="H182">
        <v>48</v>
      </c>
      <c r="J182">
        <v>500</v>
      </c>
      <c r="L182" t="s">
        <v>34</v>
      </c>
      <c r="M182">
        <v>40.713449099999998</v>
      </c>
      <c r="N182">
        <v>-8.4825639000000006</v>
      </c>
      <c r="O182" t="s">
        <v>83</v>
      </c>
    </row>
    <row r="183" spans="1:15" x14ac:dyDescent="0.2">
      <c r="A183" t="s">
        <v>3</v>
      </c>
      <c r="B183" t="s">
        <v>83</v>
      </c>
      <c r="C183" t="s">
        <v>34</v>
      </c>
      <c r="E183">
        <v>0</v>
      </c>
      <c r="F183" t="s">
        <v>153</v>
      </c>
      <c r="G183">
        <v>48</v>
      </c>
      <c r="H183">
        <v>49</v>
      </c>
      <c r="J183">
        <v>500</v>
      </c>
      <c r="L183" t="s">
        <v>34</v>
      </c>
      <c r="M183">
        <v>40.713449099999998</v>
      </c>
      <c r="N183">
        <v>-8.4825639000000006</v>
      </c>
      <c r="O183" t="s">
        <v>83</v>
      </c>
    </row>
    <row r="184" spans="1:15" x14ac:dyDescent="0.2">
      <c r="A184" t="s">
        <v>166</v>
      </c>
      <c r="B184" t="s">
        <v>83</v>
      </c>
      <c r="C184" t="s">
        <v>34</v>
      </c>
      <c r="E184">
        <v>0</v>
      </c>
      <c r="F184" t="s">
        <v>153</v>
      </c>
      <c r="G184">
        <v>0</v>
      </c>
      <c r="H184">
        <v>52</v>
      </c>
      <c r="I184" t="s">
        <v>154</v>
      </c>
      <c r="J184">
        <v>50000</v>
      </c>
      <c r="L184" t="s">
        <v>34</v>
      </c>
      <c r="M184">
        <v>40.713449099999998</v>
      </c>
      <c r="N184">
        <v>-8.4825639000000006</v>
      </c>
      <c r="O184" t="s">
        <v>83</v>
      </c>
    </row>
    <row r="185" spans="1:15" x14ac:dyDescent="0.2">
      <c r="A185" t="s">
        <v>3</v>
      </c>
      <c r="B185" t="s">
        <v>83</v>
      </c>
      <c r="C185" t="s">
        <v>35</v>
      </c>
      <c r="E185">
        <v>0</v>
      </c>
      <c r="F185" t="s">
        <v>153</v>
      </c>
      <c r="G185">
        <v>5</v>
      </c>
      <c r="H185">
        <v>6</v>
      </c>
      <c r="J185">
        <v>14000</v>
      </c>
      <c r="L185" t="s">
        <v>35</v>
      </c>
      <c r="M185">
        <v>38.8735511</v>
      </c>
      <c r="N185">
        <v>-9.0785503999999992</v>
      </c>
      <c r="O185" t="s">
        <v>83</v>
      </c>
    </row>
    <row r="186" spans="1:15" x14ac:dyDescent="0.2">
      <c r="A186" t="s">
        <v>3</v>
      </c>
      <c r="B186" t="s">
        <v>83</v>
      </c>
      <c r="C186" t="s">
        <v>35</v>
      </c>
      <c r="E186">
        <v>0</v>
      </c>
      <c r="F186" t="s">
        <v>153</v>
      </c>
      <c r="G186">
        <v>6</v>
      </c>
      <c r="H186">
        <v>7</v>
      </c>
      <c r="J186">
        <v>9000</v>
      </c>
      <c r="L186" t="s">
        <v>35</v>
      </c>
      <c r="M186">
        <v>38.8735511</v>
      </c>
      <c r="N186">
        <v>-9.0785503999999992</v>
      </c>
      <c r="O186" t="s">
        <v>83</v>
      </c>
    </row>
    <row r="187" spans="1:15" x14ac:dyDescent="0.2">
      <c r="A187" t="s">
        <v>3</v>
      </c>
      <c r="B187" t="s">
        <v>83</v>
      </c>
      <c r="C187" t="s">
        <v>35</v>
      </c>
      <c r="E187">
        <v>0</v>
      </c>
      <c r="F187" t="s">
        <v>153</v>
      </c>
      <c r="G187">
        <v>7</v>
      </c>
      <c r="H187">
        <v>8</v>
      </c>
      <c r="J187">
        <v>5000</v>
      </c>
      <c r="L187" t="s">
        <v>35</v>
      </c>
      <c r="M187">
        <v>38.8735511</v>
      </c>
      <c r="N187">
        <v>-9.0785503999999992</v>
      </c>
      <c r="O187" t="s">
        <v>83</v>
      </c>
    </row>
    <row r="188" spans="1:15" x14ac:dyDescent="0.2">
      <c r="A188" t="s">
        <v>3</v>
      </c>
      <c r="B188" t="s">
        <v>83</v>
      </c>
      <c r="C188" t="s">
        <v>35</v>
      </c>
      <c r="E188">
        <v>0</v>
      </c>
      <c r="F188" t="s">
        <v>153</v>
      </c>
      <c r="G188">
        <v>16</v>
      </c>
      <c r="H188">
        <v>17</v>
      </c>
      <c r="J188">
        <v>1000</v>
      </c>
      <c r="L188" t="s">
        <v>35</v>
      </c>
      <c r="M188">
        <v>38.8735511</v>
      </c>
      <c r="N188">
        <v>-9.0785503999999992</v>
      </c>
      <c r="O188" t="s">
        <v>83</v>
      </c>
    </row>
    <row r="189" spans="1:15" x14ac:dyDescent="0.2">
      <c r="A189" t="s">
        <v>3</v>
      </c>
      <c r="B189" t="s">
        <v>83</v>
      </c>
      <c r="C189" t="s">
        <v>35</v>
      </c>
      <c r="E189">
        <v>0</v>
      </c>
      <c r="F189" t="s">
        <v>153</v>
      </c>
      <c r="G189">
        <v>17</v>
      </c>
      <c r="H189">
        <v>18</v>
      </c>
      <c r="J189">
        <v>8000</v>
      </c>
      <c r="L189" t="s">
        <v>35</v>
      </c>
      <c r="M189">
        <v>38.8735511</v>
      </c>
      <c r="N189">
        <v>-9.0785503999999992</v>
      </c>
      <c r="O189" t="s">
        <v>83</v>
      </c>
    </row>
    <row r="190" spans="1:15" x14ac:dyDescent="0.2">
      <c r="A190" t="s">
        <v>3</v>
      </c>
      <c r="B190" t="s">
        <v>83</v>
      </c>
      <c r="C190" t="s">
        <v>35</v>
      </c>
      <c r="E190">
        <v>0</v>
      </c>
      <c r="F190" t="s">
        <v>153</v>
      </c>
      <c r="G190">
        <v>20</v>
      </c>
      <c r="H190">
        <v>21</v>
      </c>
      <c r="J190">
        <v>3000</v>
      </c>
      <c r="L190" t="s">
        <v>35</v>
      </c>
      <c r="M190">
        <v>38.8735511</v>
      </c>
      <c r="N190">
        <v>-9.0785503999999992</v>
      </c>
      <c r="O190" t="s">
        <v>83</v>
      </c>
    </row>
    <row r="191" spans="1:15" x14ac:dyDescent="0.2">
      <c r="A191" t="s">
        <v>3</v>
      </c>
      <c r="B191" t="s">
        <v>83</v>
      </c>
      <c r="C191" t="s">
        <v>35</v>
      </c>
      <c r="E191">
        <v>0</v>
      </c>
      <c r="F191" t="s">
        <v>153</v>
      </c>
      <c r="G191">
        <v>21</v>
      </c>
      <c r="H191">
        <v>22</v>
      </c>
      <c r="J191">
        <v>2500</v>
      </c>
      <c r="L191" t="s">
        <v>35</v>
      </c>
      <c r="M191">
        <v>38.8735511</v>
      </c>
      <c r="N191">
        <v>-9.0785503999999992</v>
      </c>
      <c r="O191" t="s">
        <v>83</v>
      </c>
    </row>
    <row r="192" spans="1:15" x14ac:dyDescent="0.2">
      <c r="A192" t="s">
        <v>3</v>
      </c>
      <c r="B192" t="s">
        <v>83</v>
      </c>
      <c r="C192" t="s">
        <v>35</v>
      </c>
      <c r="E192">
        <v>0</v>
      </c>
      <c r="F192" t="s">
        <v>153</v>
      </c>
      <c r="G192">
        <v>47</v>
      </c>
      <c r="H192">
        <v>48</v>
      </c>
      <c r="J192">
        <v>1500</v>
      </c>
      <c r="L192" t="s">
        <v>35</v>
      </c>
      <c r="M192">
        <v>38.8735511</v>
      </c>
      <c r="N192">
        <v>-9.0785503999999992</v>
      </c>
      <c r="O192" t="s">
        <v>83</v>
      </c>
    </row>
    <row r="193" spans="1:15" x14ac:dyDescent="0.2">
      <c r="A193" t="s">
        <v>166</v>
      </c>
      <c r="B193" t="s">
        <v>83</v>
      </c>
      <c r="C193" t="s">
        <v>35</v>
      </c>
      <c r="E193">
        <v>0</v>
      </c>
      <c r="F193" t="s">
        <v>153</v>
      </c>
      <c r="G193">
        <v>0</v>
      </c>
      <c r="H193">
        <v>52</v>
      </c>
      <c r="I193" t="s">
        <v>154</v>
      </c>
      <c r="J193">
        <v>50000</v>
      </c>
      <c r="L193" t="s">
        <v>35</v>
      </c>
      <c r="M193">
        <v>38.8735511</v>
      </c>
      <c r="N193">
        <v>-9.0785503999999992</v>
      </c>
      <c r="O193" t="s">
        <v>83</v>
      </c>
    </row>
    <row r="194" spans="1:15" x14ac:dyDescent="0.2">
      <c r="A194" t="s">
        <v>3</v>
      </c>
      <c r="B194" t="s">
        <v>83</v>
      </c>
      <c r="C194" t="s">
        <v>36</v>
      </c>
      <c r="E194">
        <v>0</v>
      </c>
      <c r="F194" t="s">
        <v>153</v>
      </c>
      <c r="G194">
        <v>43</v>
      </c>
      <c r="H194">
        <v>44</v>
      </c>
      <c r="J194">
        <v>500</v>
      </c>
      <c r="L194" t="s">
        <v>36</v>
      </c>
      <c r="M194">
        <v>63.246777700000003</v>
      </c>
      <c r="N194">
        <v>25.920916399999999</v>
      </c>
      <c r="O194" t="s">
        <v>83</v>
      </c>
    </row>
    <row r="195" spans="1:15" x14ac:dyDescent="0.2">
      <c r="A195" t="s">
        <v>166</v>
      </c>
      <c r="B195" t="s">
        <v>83</v>
      </c>
      <c r="C195" t="s">
        <v>36</v>
      </c>
      <c r="E195">
        <v>0</v>
      </c>
      <c r="F195" t="s">
        <v>153</v>
      </c>
      <c r="G195">
        <v>0</v>
      </c>
      <c r="H195">
        <v>52</v>
      </c>
      <c r="I195" t="s">
        <v>154</v>
      </c>
      <c r="J195">
        <v>50000</v>
      </c>
      <c r="L195" t="s">
        <v>36</v>
      </c>
      <c r="M195">
        <v>63.246777700000003</v>
      </c>
      <c r="N195">
        <v>25.920916399999999</v>
      </c>
      <c r="O195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Scenario 1</vt:lpstr>
      <vt:lpstr>Scenario 2</vt:lpstr>
      <vt:lpstr>Scenario 3</vt:lpstr>
      <vt:lpstr>Scenario 4</vt:lpstr>
      <vt:lpstr>CO2 4 opt</vt:lpstr>
      <vt:lpstr>CO2 4 min</vt:lpstr>
      <vt:lpstr>Results</vt:lpstr>
      <vt:lpstr>Distances</vt:lpstr>
      <vt:lpstr>Distances Matrix</vt:lpstr>
      <vt:lpstr>Minimal Data</vt:lpstr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2024-11-26T14:05:17Z</dcterms:created>
  <dcterms:modified xsi:type="dcterms:W3CDTF">2025-02-02T21:53:03Z</dcterms:modified>
  <cp:category/>
  <cp:contentStatus/>
</cp:coreProperties>
</file>