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documentation\mou\"/>
    </mc:Choice>
  </mc:AlternateContent>
  <bookViews>
    <workbookView xWindow="0" yWindow="0" windowWidth="27180" windowHeight="5070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E30" i="1" l="1"/>
  <c r="F30" i="1"/>
  <c r="C30" i="1"/>
  <c r="B30" i="1"/>
  <c r="C27" i="1" l="1"/>
  <c r="D27" i="1"/>
  <c r="E27" i="1"/>
  <c r="F27" i="1"/>
  <c r="B27" i="1"/>
  <c r="C70" i="1" l="1"/>
  <c r="D70" i="1"/>
  <c r="E70" i="1"/>
  <c r="F70" i="1"/>
  <c r="B70" i="1"/>
  <c r="J10" i="1"/>
  <c r="K10" i="1"/>
  <c r="L10" i="1"/>
  <c r="M10" i="1"/>
  <c r="I10" i="1"/>
  <c r="C69" i="1" l="1"/>
  <c r="D69" i="1"/>
  <c r="E69" i="1"/>
  <c r="F69" i="1"/>
  <c r="B69" i="1"/>
  <c r="C68" i="1"/>
  <c r="D68" i="1"/>
  <c r="E68" i="1"/>
  <c r="F68" i="1"/>
  <c r="B68" i="1"/>
  <c r="E45" i="1"/>
  <c r="F45" i="1" s="1"/>
  <c r="B45" i="1"/>
  <c r="C66" i="1" l="1"/>
  <c r="D66" i="1"/>
  <c r="E66" i="1"/>
  <c r="E67" i="1" s="1"/>
  <c r="F66" i="1"/>
  <c r="B66" i="1"/>
  <c r="C63" i="1"/>
  <c r="C64" i="1" s="1"/>
  <c r="D63" i="1"/>
  <c r="D64" i="1" s="1"/>
  <c r="E63" i="1"/>
  <c r="E64" i="1" s="1"/>
  <c r="F63" i="1"/>
  <c r="B63" i="1"/>
  <c r="E58" i="1"/>
  <c r="B58" i="1"/>
  <c r="B67" i="1" s="1"/>
  <c r="C57" i="1"/>
  <c r="C58" i="1" s="1"/>
  <c r="E57" i="1"/>
  <c r="B57" i="1"/>
  <c r="F55" i="1"/>
  <c r="D55" i="1"/>
  <c r="D2" i="1"/>
  <c r="F54" i="1"/>
  <c r="F57" i="1" s="1"/>
  <c r="F58" i="1" s="1"/>
  <c r="F67" i="1" s="1"/>
  <c r="D54" i="1"/>
  <c r="D57" i="1" s="1"/>
  <c r="D58" i="1" s="1"/>
  <c r="F48" i="1"/>
  <c r="C32" i="1"/>
  <c r="D32" i="1"/>
  <c r="E32" i="1"/>
  <c r="F32" i="1"/>
  <c r="B32" i="1"/>
  <c r="E31" i="1"/>
  <c r="F31" i="1"/>
  <c r="B31" i="1"/>
  <c r="F12" i="1"/>
  <c r="F13" i="1" s="1"/>
  <c r="C10" i="1"/>
  <c r="C12" i="1" s="1"/>
  <c r="E10" i="1"/>
  <c r="E12" i="1" s="1"/>
  <c r="F10" i="1"/>
  <c r="B10" i="1"/>
  <c r="B12" i="1" s="1"/>
  <c r="E24" i="2"/>
  <c r="B45" i="2"/>
  <c r="F4" i="1"/>
  <c r="E40" i="1"/>
  <c r="F39" i="1"/>
  <c r="F47" i="1" s="1"/>
  <c r="E39" i="1"/>
  <c r="E47" i="1" s="1"/>
  <c r="E48" i="1" s="1"/>
  <c r="B39" i="1"/>
  <c r="B47" i="1" s="1"/>
  <c r="F40" i="1"/>
  <c r="F3" i="1"/>
  <c r="E3" i="1"/>
  <c r="E7" i="1" s="1"/>
  <c r="C17" i="2"/>
  <c r="C18" i="2" s="1"/>
  <c r="B17" i="2"/>
  <c r="C16" i="2"/>
  <c r="C15" i="2"/>
  <c r="C14" i="2"/>
  <c r="B2" i="2"/>
  <c r="B4" i="2" s="1"/>
  <c r="C39" i="1"/>
  <c r="D67" i="1" l="1"/>
  <c r="C67" i="1"/>
  <c r="B64" i="1"/>
  <c r="D47" i="1"/>
  <c r="B48" i="1"/>
  <c r="F64" i="1"/>
  <c r="D10" i="1"/>
  <c r="D12" i="1" s="1"/>
  <c r="D13" i="1" s="1"/>
  <c r="B13" i="1"/>
  <c r="F14" i="1"/>
  <c r="F15" i="1" s="1"/>
  <c r="F16" i="1" s="1"/>
  <c r="E13" i="1"/>
  <c r="C13" i="1"/>
  <c r="B5" i="2"/>
  <c r="B12" i="2" s="1"/>
  <c r="B11" i="2"/>
  <c r="B8" i="2"/>
  <c r="B9" i="2" s="1"/>
  <c r="F7" i="1"/>
  <c r="D3" i="1"/>
  <c r="C40" i="1"/>
  <c r="C47" i="1" s="1"/>
  <c r="B3" i="1"/>
  <c r="B7" i="1" s="1"/>
  <c r="C48" i="1" l="1"/>
  <c r="D48" i="1"/>
  <c r="F17" i="1"/>
  <c r="F18" i="1" s="1"/>
  <c r="F20" i="1"/>
  <c r="F22" i="1"/>
  <c r="F25" i="1" s="1"/>
  <c r="F26" i="1" s="1"/>
  <c r="B14" i="1"/>
  <c r="B15" i="1"/>
  <c r="E14" i="1"/>
  <c r="E15" i="1" s="1"/>
  <c r="E16" i="1" s="1"/>
  <c r="E17" i="1" s="1"/>
  <c r="E18" i="1" s="1"/>
  <c r="D14" i="1"/>
  <c r="D15" i="1" s="1"/>
  <c r="D16" i="1" s="1"/>
  <c r="D17" i="1" s="1"/>
  <c r="D18" i="1" s="1"/>
  <c r="C14" i="1"/>
  <c r="C3" i="1"/>
  <c r="D4" i="1"/>
  <c r="D31" i="1" s="1"/>
  <c r="F21" i="1" l="1"/>
  <c r="F29" i="1"/>
  <c r="D20" i="1"/>
  <c r="D21" i="1" s="1"/>
  <c r="D22" i="1"/>
  <c r="D25" i="1" s="1"/>
  <c r="D26" i="1" s="1"/>
  <c r="E22" i="1"/>
  <c r="E25" i="1" s="1"/>
  <c r="E26" i="1" s="1"/>
  <c r="E20" i="1"/>
  <c r="B16" i="1"/>
  <c r="B17" i="1" s="1"/>
  <c r="B18" i="1" s="1"/>
  <c r="B20" i="1" s="1"/>
  <c r="B22" i="1"/>
  <c r="B25" i="1" s="1"/>
  <c r="B26" i="1" s="1"/>
  <c r="C15" i="1"/>
  <c r="D7" i="1"/>
  <c r="C4" i="1"/>
  <c r="C31" i="1" s="1"/>
  <c r="F49" i="1" l="1"/>
  <c r="F33" i="1"/>
  <c r="B21" i="1"/>
  <c r="B29" i="1"/>
  <c r="E29" i="1"/>
  <c r="E21" i="1"/>
  <c r="D29" i="1"/>
  <c r="D30" i="1" s="1"/>
  <c r="C16" i="1"/>
  <c r="C7" i="1"/>
  <c r="E33" i="1" l="1"/>
  <c r="E49" i="1"/>
  <c r="D33" i="1"/>
  <c r="D52" i="1" s="1"/>
  <c r="D49" i="1"/>
  <c r="B49" i="1"/>
  <c r="B33" i="1"/>
  <c r="F34" i="1" s="1"/>
  <c r="F52" i="1"/>
  <c r="C22" i="1"/>
  <c r="C25" i="1" s="1"/>
  <c r="C26" i="1" s="1"/>
  <c r="C17" i="1"/>
  <c r="C18" i="1" s="1"/>
  <c r="C20" i="1" s="1"/>
  <c r="C29" i="1" l="1"/>
  <c r="C49" i="1" s="1"/>
  <c r="C50" i="1" s="1"/>
  <c r="F50" i="1"/>
  <c r="E50" i="1"/>
  <c r="B50" i="1"/>
  <c r="D50" i="1"/>
  <c r="B52" i="1"/>
  <c r="B53" i="1" s="1"/>
  <c r="B34" i="1"/>
  <c r="D34" i="1"/>
  <c r="E34" i="1"/>
  <c r="E52" i="1"/>
  <c r="C21" i="1"/>
  <c r="C33" i="1" l="1"/>
  <c r="C52" i="1" s="1"/>
  <c r="C53" i="1" s="1"/>
  <c r="E53" i="1"/>
  <c r="F53" i="1"/>
  <c r="D53" i="1"/>
  <c r="C34" i="1" l="1"/>
</calcChain>
</file>

<file path=xl/sharedStrings.xml><?xml version="1.0" encoding="utf-8"?>
<sst xmlns="http://schemas.openxmlformats.org/spreadsheetml/2006/main" count="118" uniqueCount="101">
  <si>
    <t>Bonus</t>
  </si>
  <si>
    <t>Brut mensuel</t>
  </si>
  <si>
    <t>Brut annuel</t>
  </si>
  <si>
    <t>P</t>
  </si>
  <si>
    <t>S</t>
  </si>
  <si>
    <t>Variable</t>
  </si>
  <si>
    <t>Mutuelle</t>
  </si>
  <si>
    <t>Voiture</t>
  </si>
  <si>
    <t>TR employeur</t>
  </si>
  <si>
    <t>Avantage nature</t>
  </si>
  <si>
    <t>Telephone</t>
  </si>
  <si>
    <t>Cotisations sociales</t>
  </si>
  <si>
    <t>Impots</t>
  </si>
  <si>
    <t>ATN Voiture mens</t>
  </si>
  <si>
    <t>TR employé mens</t>
  </si>
  <si>
    <t>P 4/5</t>
  </si>
  <si>
    <t>Frais mensuels</t>
  </si>
  <si>
    <t>Hypo 1</t>
  </si>
  <si>
    <t>Hypo 2</t>
  </si>
  <si>
    <t>Crèche</t>
  </si>
  <si>
    <t>Assurance hospi</t>
  </si>
  <si>
    <t>Total</t>
  </si>
  <si>
    <t>Epargne</t>
  </si>
  <si>
    <t>Chauffage</t>
  </si>
  <si>
    <t>Elec</t>
  </si>
  <si>
    <t>Internet / TV</t>
  </si>
  <si>
    <t>Mobile</t>
  </si>
  <si>
    <t>Assurance habitation</t>
  </si>
  <si>
    <t>Assurance familiale</t>
  </si>
  <si>
    <t>Déchets</t>
  </si>
  <si>
    <t>Revenu cadastral</t>
  </si>
  <si>
    <t>Assurance auto</t>
  </si>
  <si>
    <t>Carburant Manu</t>
  </si>
  <si>
    <t>Carburant Caro</t>
  </si>
  <si>
    <t>Epargne pension</t>
  </si>
  <si>
    <t>Manu</t>
  </si>
  <si>
    <t>Caro</t>
  </si>
  <si>
    <t>Parking employé</t>
  </si>
  <si>
    <t>Voiture mensuel</t>
  </si>
  <si>
    <t>Total avantages mensuel</t>
  </si>
  <si>
    <t>Total brut annuel</t>
  </si>
  <si>
    <t>Net mensuel</t>
  </si>
  <si>
    <t>Bonus net</t>
  </si>
  <si>
    <t>Total net annuel</t>
  </si>
  <si>
    <t>Base annuelle</t>
  </si>
  <si>
    <t>Base mensuelle</t>
  </si>
  <si>
    <t>Litres aux 100</t>
  </si>
  <si>
    <t>Consommation mensuelle (litres)</t>
  </si>
  <si>
    <t>Consommation annuelle (litres)</t>
  </si>
  <si>
    <t>Prix au litre</t>
  </si>
  <si>
    <t>Consommation mensuelle (euros)</t>
  </si>
  <si>
    <t>Consommationmensuelle (euros)</t>
  </si>
  <si>
    <t>Réduction Q8 par litre</t>
  </si>
  <si>
    <t>Réduction Q8 mensuelle</t>
  </si>
  <si>
    <t>Réduction Q8 annuelle</t>
  </si>
  <si>
    <t>Brut</t>
  </si>
  <si>
    <t>TR</t>
  </si>
  <si>
    <t>N</t>
  </si>
  <si>
    <t>N 4/5</t>
  </si>
  <si>
    <t>Variable net</t>
  </si>
  <si>
    <t>Caisse maladie soins</t>
  </si>
  <si>
    <t>Caisse maladie espèce</t>
  </si>
  <si>
    <t>Caisse pensions</t>
  </si>
  <si>
    <t>Caisse dépendance</t>
  </si>
  <si>
    <t>Total cotisations soc.</t>
  </si>
  <si>
    <t>Total cotisations soc. Ded.</t>
  </si>
  <si>
    <t>FD</t>
  </si>
  <si>
    <t>Base imposable</t>
  </si>
  <si>
    <t>Impot</t>
  </si>
  <si>
    <t>Credit impots</t>
  </si>
  <si>
    <t>Mutuelle employeur</t>
  </si>
  <si>
    <t>Mutuelle employé</t>
  </si>
  <si>
    <t>Cotisation soc prime</t>
  </si>
  <si>
    <t>Total avantages annuels</t>
  </si>
  <si>
    <t>Grand net total annuel</t>
  </si>
  <si>
    <t>Jours de congé</t>
  </si>
  <si>
    <t>Laptop</t>
  </si>
  <si>
    <t>x</t>
  </si>
  <si>
    <t>Téléphone</t>
  </si>
  <si>
    <t>Variation</t>
  </si>
  <si>
    <t>Total cot. Soc. Annuelles</t>
  </si>
  <si>
    <t>Jours fériés</t>
  </si>
  <si>
    <t>Jours off suppl</t>
  </si>
  <si>
    <t>Total jours off</t>
  </si>
  <si>
    <t>Jours travaillés</t>
  </si>
  <si>
    <t>Carte essence</t>
  </si>
  <si>
    <t>Distance annuelle</t>
  </si>
  <si>
    <t>Trajet journalier moyen (min)</t>
  </si>
  <si>
    <t>Trajet temps moyen (min)</t>
  </si>
  <si>
    <t>Tps trajet annuel (jours)</t>
  </si>
  <si>
    <t>Distance trajet par jour</t>
  </si>
  <si>
    <t>Distance trajet (kms)</t>
  </si>
  <si>
    <t>Carburant</t>
  </si>
  <si>
    <t>Net + avantages en nature</t>
  </si>
  <si>
    <t>Litres carburant</t>
  </si>
  <si>
    <t>Prix carburant</t>
  </si>
  <si>
    <t>Montant carburant annuel</t>
  </si>
  <si>
    <t>Montant carburant mensuel</t>
  </si>
  <si>
    <t>Variation net annuel</t>
  </si>
  <si>
    <t>Variation net mensuel</t>
  </si>
  <si>
    <t>Total brut 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</si>
</sst>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164" fontId="0" fillId="2" borderId="1" xfId="0" applyNumberFormat="1" applyFill="1" applyBorder="1"/>
    <xf numFmtId="164" fontId="0" fillId="0" borderId="0" xfId="0" applyNumberFormat="1"/>
    <xf numFmtId="0" fontId="0" fillId="0" borderId="2" xfId="0" applyFill="1" applyBorder="1"/>
    <xf numFmtId="164" fontId="0" fillId="0" borderId="2" xfId="0" applyNumberFormat="1" applyFill="1" applyBorder="1"/>
    <xf numFmtId="0" fontId="1" fillId="0" borderId="1" xfId="0" applyFont="1" applyFill="1" applyBorder="1"/>
    <xf numFmtId="0" fontId="0" fillId="0" borderId="0" xfId="0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1" fillId="4" borderId="1" xfId="0" applyFont="1" applyFill="1" applyBorder="1"/>
    <xf numFmtId="164" fontId="0" fillId="4" borderId="1" xfId="0" applyNumberFormat="1" applyFill="1" applyBorder="1"/>
    <xf numFmtId="2" fontId="0" fillId="0" borderId="1" xfId="0" applyNumberFormat="1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/>
    <xf numFmtId="2" fontId="0" fillId="0" borderId="1" xfId="0" applyNumberFormat="1" applyBorder="1" applyAlignment="1">
      <alignment horizontal="center"/>
    </xf>
    <xf numFmtId="10" fontId="0" fillId="2" borderId="1" xfId="0" applyNumberFormat="1" applyFill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25" workbookViewId="0">
      <selection activeCell="A17" sqref="A17"/>
    </sheetView>
  </sheetViews>
  <sheetFormatPr baseColWidth="10" defaultRowHeight="15" x14ac:dyDescent="0.25"/>
  <cols>
    <col min="1" max="1" width="27.5703125" bestFit="1" customWidth="1"/>
    <col min="8" max="8" width="21" bestFit="1" customWidth="1"/>
    <col min="9" max="13" width="7" bestFit="1" customWidth="1"/>
  </cols>
  <sheetData>
    <row r="1" spans="1:13" x14ac:dyDescent="0.25">
      <c r="A1" s="1"/>
      <c r="B1" s="4" t="s">
        <v>4</v>
      </c>
      <c r="C1" s="4" t="s">
        <v>3</v>
      </c>
      <c r="D1" s="4" t="s">
        <v>15</v>
      </c>
      <c r="E1" s="10" t="s">
        <v>57</v>
      </c>
      <c r="F1" s="10" t="s">
        <v>58</v>
      </c>
      <c r="G1" s="8"/>
      <c r="H1" s="4" t="s">
        <v>11</v>
      </c>
      <c r="I1" s="1"/>
      <c r="J1" s="1"/>
      <c r="K1" s="1"/>
      <c r="L1" s="1"/>
      <c r="M1" s="1"/>
    </row>
    <row r="2" spans="1:13" x14ac:dyDescent="0.25">
      <c r="A2" s="4" t="s">
        <v>1</v>
      </c>
      <c r="B2" s="2">
        <v>4600</v>
      </c>
      <c r="C2" s="2">
        <v>5300</v>
      </c>
      <c r="D2" s="2">
        <f>0.8*C2</f>
        <v>4240</v>
      </c>
      <c r="E2" s="9">
        <v>5100</v>
      </c>
      <c r="F2" s="9">
        <v>4080</v>
      </c>
      <c r="H2" s="1" t="s">
        <v>60</v>
      </c>
      <c r="I2" s="1">
        <v>2.8000000000000001E-2</v>
      </c>
      <c r="J2" s="1">
        <v>2.8000000000000001E-2</v>
      </c>
      <c r="K2" s="1">
        <v>2.8000000000000001E-2</v>
      </c>
      <c r="L2" s="1">
        <v>2.8000000000000001E-2</v>
      </c>
      <c r="M2" s="1">
        <v>2.8000000000000001E-2</v>
      </c>
    </row>
    <row r="3" spans="1:13" x14ac:dyDescent="0.25">
      <c r="A3" s="4" t="s">
        <v>2</v>
      </c>
      <c r="B3" s="2">
        <f>12*B2</f>
        <v>55200</v>
      </c>
      <c r="C3" s="2">
        <f>12*C2</f>
        <v>63600</v>
      </c>
      <c r="D3" s="2">
        <f>12*D2</f>
        <v>50880</v>
      </c>
      <c r="E3" s="2">
        <f>12*E2</f>
        <v>61200</v>
      </c>
      <c r="F3" s="2">
        <f>12*F2</f>
        <v>48960</v>
      </c>
      <c r="H3" s="1" t="s">
        <v>61</v>
      </c>
      <c r="I3" s="1">
        <v>2.5000000000000001E-3</v>
      </c>
      <c r="J3" s="1">
        <v>2.5000000000000001E-3</v>
      </c>
      <c r="K3" s="1">
        <v>2.5000000000000001E-3</v>
      </c>
      <c r="L3" s="1">
        <v>2.5000000000000001E-3</v>
      </c>
      <c r="M3" s="1">
        <v>2.5000000000000001E-3</v>
      </c>
    </row>
    <row r="4" spans="1:13" x14ac:dyDescent="0.25">
      <c r="A4" s="4" t="s">
        <v>0</v>
      </c>
      <c r="B4" s="2">
        <v>2000</v>
      </c>
      <c r="C4" s="2">
        <f>0.1*C3</f>
        <v>6360</v>
      </c>
      <c r="D4" s="2">
        <f>0.1*D3</f>
        <v>5088</v>
      </c>
      <c r="E4" s="2">
        <v>2500</v>
      </c>
      <c r="F4" s="2">
        <f>0.8*E4</f>
        <v>2000</v>
      </c>
      <c r="H4" s="1" t="s">
        <v>62</v>
      </c>
      <c r="I4" s="1">
        <v>0.08</v>
      </c>
      <c r="J4" s="1">
        <v>0.08</v>
      </c>
      <c r="K4" s="1">
        <v>0.08</v>
      </c>
      <c r="L4" s="1">
        <v>0.08</v>
      </c>
      <c r="M4" s="1">
        <v>0.08</v>
      </c>
    </row>
    <row r="5" spans="1:13" x14ac:dyDescent="0.25">
      <c r="A5" s="4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H5" s="1" t="s">
        <v>63</v>
      </c>
      <c r="I5" s="1">
        <v>1.4E-2</v>
      </c>
      <c r="J5" s="1">
        <v>1.4E-2</v>
      </c>
      <c r="K5" s="1">
        <v>1.4E-2</v>
      </c>
      <c r="L5" s="1">
        <v>1.4E-2</v>
      </c>
      <c r="M5" s="1">
        <v>1.4E-2</v>
      </c>
    </row>
    <row r="6" spans="1:13" x14ac:dyDescent="0.25">
      <c r="A6" s="4"/>
      <c r="B6" s="2"/>
      <c r="C6" s="2"/>
      <c r="D6" s="1"/>
      <c r="E6" s="1"/>
      <c r="F6" s="1"/>
      <c r="H6" s="1"/>
      <c r="I6" s="1"/>
      <c r="J6" s="1"/>
      <c r="K6" s="1"/>
      <c r="L6" s="1"/>
      <c r="M6" s="1"/>
    </row>
    <row r="7" spans="1:13" x14ac:dyDescent="0.25">
      <c r="A7" s="5" t="s">
        <v>40</v>
      </c>
      <c r="B7" s="21">
        <f>SUM(B3:B5)</f>
        <v>57200</v>
      </c>
      <c r="C7" s="21">
        <f>SUM(C3:C5)</f>
        <v>69960</v>
      </c>
      <c r="D7" s="21">
        <f>SUM(D3:D5)</f>
        <v>55968</v>
      </c>
      <c r="E7" s="21">
        <f>SUM(E3:E5)</f>
        <v>63700</v>
      </c>
      <c r="F7" s="21">
        <f>SUM(F3:F5)</f>
        <v>50960</v>
      </c>
      <c r="H7" s="1" t="s">
        <v>12</v>
      </c>
      <c r="I7" s="1">
        <v>0.11</v>
      </c>
      <c r="J7" s="1">
        <v>0.1326</v>
      </c>
      <c r="K7" s="1">
        <v>0.11</v>
      </c>
      <c r="L7" s="1">
        <v>0.115</v>
      </c>
      <c r="M7" s="1">
        <v>0.1</v>
      </c>
    </row>
    <row r="8" spans="1:13" x14ac:dyDescent="0.25">
      <c r="A8" s="12"/>
      <c r="B8" s="13"/>
      <c r="C8" s="13"/>
      <c r="D8" s="13"/>
      <c r="E8" s="13"/>
      <c r="F8" s="13"/>
      <c r="H8" s="11"/>
      <c r="I8" s="11"/>
      <c r="J8" s="11"/>
      <c r="K8" s="11"/>
      <c r="L8" s="11"/>
      <c r="M8" s="11"/>
    </row>
    <row r="9" spans="1:13" x14ac:dyDescent="0.25">
      <c r="A9" s="4" t="s">
        <v>13</v>
      </c>
      <c r="B9" s="2">
        <v>368.62</v>
      </c>
      <c r="C9" s="2">
        <v>368.62</v>
      </c>
      <c r="D9" s="2">
        <v>368.62</v>
      </c>
      <c r="E9" s="2">
        <v>368.62</v>
      </c>
      <c r="F9" s="2">
        <v>368.62</v>
      </c>
      <c r="H9" s="3" t="s">
        <v>72</v>
      </c>
      <c r="I9" s="16">
        <v>0.875</v>
      </c>
      <c r="J9" s="17">
        <v>0.875</v>
      </c>
      <c r="K9" s="17">
        <v>0.875</v>
      </c>
      <c r="L9" s="17">
        <v>0.875</v>
      </c>
      <c r="M9" s="17">
        <v>0.875</v>
      </c>
    </row>
    <row r="10" spans="1:13" x14ac:dyDescent="0.25">
      <c r="A10" s="12" t="s">
        <v>100</v>
      </c>
      <c r="B10" s="13">
        <f>B2+B9</f>
        <v>4968.62</v>
      </c>
      <c r="C10" s="13">
        <f t="shared" ref="C10:F10" si="0">C2+C9</f>
        <v>5668.62</v>
      </c>
      <c r="D10" s="13">
        <f t="shared" si="0"/>
        <v>4608.62</v>
      </c>
      <c r="E10" s="13">
        <f t="shared" si="0"/>
        <v>5468.62</v>
      </c>
      <c r="F10" s="13">
        <f t="shared" si="0"/>
        <v>4448.62</v>
      </c>
      <c r="H10" s="1" t="s">
        <v>12</v>
      </c>
      <c r="I10" s="17">
        <f>1-I7</f>
        <v>0.89</v>
      </c>
      <c r="J10" s="17">
        <f t="shared" ref="J10:M10" si="1">1-J7</f>
        <v>0.86739999999999995</v>
      </c>
      <c r="K10" s="17">
        <f t="shared" si="1"/>
        <v>0.89</v>
      </c>
      <c r="L10" s="17">
        <f t="shared" si="1"/>
        <v>0.88500000000000001</v>
      </c>
      <c r="M10" s="17">
        <f t="shared" si="1"/>
        <v>0.9</v>
      </c>
    </row>
    <row r="11" spans="1:13" x14ac:dyDescent="0.25">
      <c r="A11" s="12"/>
      <c r="B11" s="13"/>
      <c r="C11" s="13"/>
      <c r="D11" s="13"/>
      <c r="E11" s="13"/>
      <c r="F11" s="13"/>
      <c r="H11" s="1"/>
      <c r="I11" s="1"/>
      <c r="J11" s="1"/>
      <c r="K11" s="1"/>
      <c r="L11" s="1"/>
      <c r="M11" s="1"/>
    </row>
    <row r="12" spans="1:13" x14ac:dyDescent="0.25">
      <c r="A12" s="1" t="s">
        <v>60</v>
      </c>
      <c r="B12" s="13">
        <f>I2*B10</f>
        <v>139.12136000000001</v>
      </c>
      <c r="C12" s="13">
        <f t="shared" ref="C12:F12" si="2">J2*C10</f>
        <v>158.72136</v>
      </c>
      <c r="D12" s="13">
        <f t="shared" si="2"/>
        <v>129.04136</v>
      </c>
      <c r="E12" s="13">
        <f t="shared" si="2"/>
        <v>153.12136000000001</v>
      </c>
      <c r="F12" s="13">
        <f t="shared" si="2"/>
        <v>124.56135999999999</v>
      </c>
      <c r="H12" s="1" t="s">
        <v>95</v>
      </c>
      <c r="I12" s="2">
        <v>1.028</v>
      </c>
      <c r="J12" s="2">
        <v>1.028</v>
      </c>
      <c r="K12" s="2">
        <v>1.028</v>
      </c>
      <c r="L12" s="2">
        <v>1.028</v>
      </c>
      <c r="M12" s="2">
        <v>1.028</v>
      </c>
    </row>
    <row r="13" spans="1:13" x14ac:dyDescent="0.25">
      <c r="A13" s="1"/>
      <c r="B13" s="13">
        <f>B10-B12</f>
        <v>4829.4986399999998</v>
      </c>
      <c r="C13" s="13">
        <f t="shared" ref="C13:F13" si="3">C10-C12</f>
        <v>5509.8986399999994</v>
      </c>
      <c r="D13" s="13">
        <f t="shared" si="3"/>
        <v>4479.5786399999997</v>
      </c>
      <c r="E13" s="13">
        <f t="shared" si="3"/>
        <v>5315.4986399999998</v>
      </c>
      <c r="F13" s="13">
        <f t="shared" si="3"/>
        <v>4324.0586400000002</v>
      </c>
      <c r="H13" s="1"/>
      <c r="I13" s="1"/>
      <c r="J13" s="1"/>
      <c r="K13" s="1"/>
      <c r="L13" s="1"/>
      <c r="M13" s="1"/>
    </row>
    <row r="14" spans="1:13" x14ac:dyDescent="0.25">
      <c r="A14" s="1" t="s">
        <v>61</v>
      </c>
      <c r="B14" s="13">
        <f>I3*B13</f>
        <v>12.0737466</v>
      </c>
      <c r="C14" s="13">
        <f t="shared" ref="C14:F14" si="4">J3*C13</f>
        <v>13.774746599999999</v>
      </c>
      <c r="D14" s="13">
        <f t="shared" si="4"/>
        <v>11.198946599999999</v>
      </c>
      <c r="E14" s="13">
        <f t="shared" si="4"/>
        <v>13.2887466</v>
      </c>
      <c r="F14" s="13">
        <f t="shared" si="4"/>
        <v>10.810146600000001</v>
      </c>
      <c r="H14" s="1"/>
      <c r="I14" s="1"/>
      <c r="J14" s="1"/>
      <c r="K14" s="1"/>
      <c r="L14" s="1"/>
      <c r="M14" s="1"/>
    </row>
    <row r="15" spans="1:13" x14ac:dyDescent="0.25">
      <c r="A15" s="1"/>
      <c r="B15" s="13">
        <f>B13-B14</f>
        <v>4817.4248933999997</v>
      </c>
      <c r="C15" s="13">
        <f t="shared" ref="C15:F15" si="5">C13-C14</f>
        <v>5496.1238933999994</v>
      </c>
      <c r="D15" s="13">
        <f t="shared" si="5"/>
        <v>4468.3796934000002</v>
      </c>
      <c r="E15" s="13">
        <f t="shared" si="5"/>
        <v>5302.2098933999996</v>
      </c>
      <c r="F15" s="13">
        <f t="shared" si="5"/>
        <v>4313.2484934000004</v>
      </c>
      <c r="H15" s="11"/>
      <c r="I15" s="11"/>
      <c r="J15" s="11"/>
      <c r="K15" s="11"/>
      <c r="L15" s="11"/>
      <c r="M15" s="11"/>
    </row>
    <row r="16" spans="1:13" x14ac:dyDescent="0.25">
      <c r="A16" s="1" t="s">
        <v>62</v>
      </c>
      <c r="B16" s="13">
        <f>I4*B15</f>
        <v>385.39399147199998</v>
      </c>
      <c r="C16" s="13">
        <f t="shared" ref="C16:F16" si="6">J4*C15</f>
        <v>439.68991147199995</v>
      </c>
      <c r="D16" s="13">
        <f t="shared" si="6"/>
        <v>357.470375472</v>
      </c>
      <c r="E16" s="13">
        <f t="shared" si="6"/>
        <v>424.17679147199999</v>
      </c>
      <c r="F16" s="13">
        <f t="shared" si="6"/>
        <v>345.05987947200003</v>
      </c>
      <c r="H16" s="11"/>
      <c r="I16" s="11"/>
      <c r="J16" s="11"/>
      <c r="K16" s="11"/>
      <c r="L16" s="11"/>
      <c r="M16" s="11"/>
    </row>
    <row r="17" spans="1:13" x14ac:dyDescent="0.25">
      <c r="A17" s="1"/>
      <c r="B17" s="13">
        <f>B15-B16</f>
        <v>4432.0309019279994</v>
      </c>
      <c r="C17" s="13">
        <f t="shared" ref="C17:F17" si="7">C15-C16</f>
        <v>5056.4339819279994</v>
      </c>
      <c r="D17" s="13">
        <f t="shared" si="7"/>
        <v>4110.9093179279998</v>
      </c>
      <c r="E17" s="13">
        <f t="shared" si="7"/>
        <v>4878.0331019279993</v>
      </c>
      <c r="F17" s="13">
        <f t="shared" si="7"/>
        <v>3968.1886139280004</v>
      </c>
      <c r="H17" s="11"/>
      <c r="I17" s="11"/>
      <c r="J17" s="11"/>
      <c r="K17" s="11"/>
      <c r="L17" s="11"/>
      <c r="M17" s="11"/>
    </row>
    <row r="18" spans="1:13" x14ac:dyDescent="0.25">
      <c r="A18" s="1" t="s">
        <v>63</v>
      </c>
      <c r="B18" s="13">
        <f>I5*B17</f>
        <v>62.048432626991989</v>
      </c>
      <c r="C18" s="13">
        <f t="shared" ref="C18:F18" si="8">J5*C17</f>
        <v>70.790075746991988</v>
      </c>
      <c r="D18" s="13">
        <f t="shared" si="8"/>
        <v>57.552730450992001</v>
      </c>
      <c r="E18" s="13">
        <f t="shared" si="8"/>
        <v>68.292463426991986</v>
      </c>
      <c r="F18" s="13">
        <f t="shared" si="8"/>
        <v>55.554640594992009</v>
      </c>
      <c r="H18" s="11"/>
      <c r="I18" s="11"/>
      <c r="J18" s="11"/>
      <c r="K18" s="11"/>
      <c r="L18" s="11"/>
      <c r="M18" s="11"/>
    </row>
    <row r="19" spans="1:13" x14ac:dyDescent="0.25">
      <c r="A19" s="1"/>
      <c r="B19" s="13"/>
      <c r="C19" s="13"/>
      <c r="D19" s="13"/>
      <c r="E19" s="13"/>
      <c r="F19" s="13"/>
      <c r="H19" s="11"/>
      <c r="I19" s="11"/>
      <c r="J19" s="11"/>
      <c r="K19" s="11"/>
      <c r="L19" s="11"/>
      <c r="M19" s="11"/>
    </row>
    <row r="20" spans="1:13" x14ac:dyDescent="0.25">
      <c r="A20" s="1" t="s">
        <v>64</v>
      </c>
      <c r="B20" s="13">
        <f>B12+B14+B16+B18</f>
        <v>598.6375306989919</v>
      </c>
      <c r="C20" s="13">
        <f t="shared" ref="C20:F20" si="9">C12+C14+C16+C18</f>
        <v>682.9760938189919</v>
      </c>
      <c r="D20" s="13">
        <f t="shared" si="9"/>
        <v>555.26341252299198</v>
      </c>
      <c r="E20" s="13">
        <f t="shared" si="9"/>
        <v>658.8793614989919</v>
      </c>
      <c r="F20" s="13">
        <f t="shared" si="9"/>
        <v>535.98602666699207</v>
      </c>
      <c r="H20" s="11"/>
      <c r="I20" s="11"/>
      <c r="J20" s="11"/>
      <c r="K20" s="11"/>
      <c r="L20" s="11"/>
      <c r="M20" s="11"/>
    </row>
    <row r="21" spans="1:13" x14ac:dyDescent="0.25">
      <c r="A21" s="1" t="s">
        <v>80</v>
      </c>
      <c r="B21" s="13">
        <f>B20*12</f>
        <v>7183.6503683879027</v>
      </c>
      <c r="C21" s="13">
        <f t="shared" ref="C21:F21" si="10">C20*12</f>
        <v>8195.7131258279023</v>
      </c>
      <c r="D21" s="13">
        <f t="shared" si="10"/>
        <v>6663.1609502759038</v>
      </c>
      <c r="E21" s="13">
        <f t="shared" si="10"/>
        <v>7906.5523379879032</v>
      </c>
      <c r="F21" s="13">
        <f t="shared" si="10"/>
        <v>6431.8323200039049</v>
      </c>
      <c r="H21" s="11"/>
      <c r="I21" s="11"/>
      <c r="J21" s="11"/>
      <c r="K21" s="11"/>
      <c r="L21" s="11"/>
      <c r="M21" s="11"/>
    </row>
    <row r="22" spans="1:13" x14ac:dyDescent="0.25">
      <c r="A22" s="1" t="s">
        <v>65</v>
      </c>
      <c r="B22" s="13">
        <f>B12+B14+B16</f>
        <v>536.58909807199996</v>
      </c>
      <c r="C22" s="13">
        <f t="shared" ref="C22:F22" si="11">C12+C14+C16</f>
        <v>612.18601807199991</v>
      </c>
      <c r="D22" s="13">
        <f t="shared" si="11"/>
        <v>497.710682072</v>
      </c>
      <c r="E22" s="13">
        <f t="shared" si="11"/>
        <v>590.58689807199994</v>
      </c>
      <c r="F22" s="13">
        <f t="shared" si="11"/>
        <v>480.43138607200001</v>
      </c>
      <c r="H22" s="11"/>
      <c r="I22" s="11"/>
      <c r="J22" s="11"/>
      <c r="K22" s="11"/>
      <c r="L22" s="11"/>
      <c r="M22" s="11"/>
    </row>
    <row r="23" spans="1:13" x14ac:dyDescent="0.25">
      <c r="A23" s="1" t="s">
        <v>66</v>
      </c>
      <c r="B23" s="13">
        <v>214.5</v>
      </c>
      <c r="C23" s="13">
        <v>214.5</v>
      </c>
      <c r="D23" s="13">
        <v>214.5</v>
      </c>
      <c r="E23" s="13">
        <v>214.5</v>
      </c>
      <c r="F23" s="13">
        <v>214.5</v>
      </c>
      <c r="H23" s="11"/>
      <c r="I23" s="11"/>
      <c r="J23" s="11"/>
      <c r="K23" s="11"/>
      <c r="L23" s="11"/>
      <c r="M23" s="11"/>
    </row>
    <row r="24" spans="1:13" x14ac:dyDescent="0.25">
      <c r="A24" s="1"/>
      <c r="B24" s="13"/>
      <c r="C24" s="13"/>
      <c r="D24" s="13"/>
      <c r="E24" s="13"/>
      <c r="F24" s="13"/>
      <c r="H24" s="11"/>
      <c r="I24" s="11"/>
      <c r="J24" s="11"/>
      <c r="K24" s="11"/>
      <c r="L24" s="11"/>
      <c r="M24" s="11"/>
    </row>
    <row r="25" spans="1:13" x14ac:dyDescent="0.25">
      <c r="A25" s="1" t="s">
        <v>67</v>
      </c>
      <c r="B25" s="13">
        <f>B10-B22-B23</f>
        <v>4217.5309019280003</v>
      </c>
      <c r="C25" s="13">
        <f t="shared" ref="C25:F25" si="12">C10-C22-C23</f>
        <v>4841.9339819280003</v>
      </c>
      <c r="D25" s="13">
        <f t="shared" si="12"/>
        <v>3896.4093179279998</v>
      </c>
      <c r="E25" s="13">
        <f t="shared" si="12"/>
        <v>4663.5331019280002</v>
      </c>
      <c r="F25" s="13">
        <f t="shared" si="12"/>
        <v>3753.688613928</v>
      </c>
      <c r="H25" s="11"/>
      <c r="I25" s="11"/>
      <c r="J25" s="11"/>
      <c r="K25" s="11"/>
      <c r="L25" s="11"/>
      <c r="M25" s="11"/>
    </row>
    <row r="26" spans="1:13" x14ac:dyDescent="0.25">
      <c r="A26" s="1" t="s">
        <v>68</v>
      </c>
      <c r="B26" s="13">
        <f>I7*B25</f>
        <v>463.92839921208002</v>
      </c>
      <c r="C26" s="13">
        <f t="shared" ref="C26:F26" si="13">J7*C25</f>
        <v>642.04044600365285</v>
      </c>
      <c r="D26" s="13">
        <f t="shared" si="13"/>
        <v>428.60502497208</v>
      </c>
      <c r="E26" s="13">
        <f t="shared" si="13"/>
        <v>536.30630672172003</v>
      </c>
      <c r="F26" s="13">
        <f t="shared" si="13"/>
        <v>375.3688613928</v>
      </c>
      <c r="H26" s="11"/>
      <c r="I26" s="11"/>
      <c r="J26" s="11"/>
      <c r="K26" s="11"/>
      <c r="L26" s="11"/>
      <c r="M26" s="11"/>
    </row>
    <row r="27" spans="1:13" x14ac:dyDescent="0.25">
      <c r="A27" s="1" t="s">
        <v>69</v>
      </c>
      <c r="B27" s="13">
        <f>(600 -((B3-40000)*0.015))/12</f>
        <v>31</v>
      </c>
      <c r="C27" s="13">
        <f t="shared" ref="C27:F27" si="14">(600 -((C3-40000)*0.015))/12</f>
        <v>20.5</v>
      </c>
      <c r="D27" s="13">
        <f t="shared" si="14"/>
        <v>36.4</v>
      </c>
      <c r="E27" s="13">
        <f t="shared" si="14"/>
        <v>23.5</v>
      </c>
      <c r="F27" s="13">
        <f t="shared" si="14"/>
        <v>38.800000000000004</v>
      </c>
      <c r="H27" s="11"/>
      <c r="I27" s="11"/>
      <c r="J27" s="11"/>
      <c r="K27" s="11"/>
      <c r="L27" s="11"/>
      <c r="M27" s="11"/>
    </row>
    <row r="28" spans="1:13" x14ac:dyDescent="0.25">
      <c r="A28" s="4"/>
      <c r="B28" s="2"/>
      <c r="C28" s="2"/>
      <c r="D28" s="1"/>
      <c r="E28" s="1"/>
      <c r="F28" s="1"/>
    </row>
    <row r="29" spans="1:13" x14ac:dyDescent="0.25">
      <c r="A29" s="14" t="s">
        <v>41</v>
      </c>
      <c r="B29" s="15">
        <f>B2+B9-B20-B26+B27-B40-B41-B42-B9</f>
        <v>3464.5240700889281</v>
      </c>
      <c r="C29" s="15">
        <f>C2+C9-C20-C26+C27-C40-C41-C42-C9</f>
        <v>3895.0834601773558</v>
      </c>
      <c r="D29" s="15">
        <f t="shared" ref="D29:F29" si="15">D2+D9-D20-D26+D27-D40-D41-D42-D9</f>
        <v>3203.3315625049281</v>
      </c>
      <c r="E29" s="15">
        <f t="shared" si="15"/>
        <v>3877.9143317792887</v>
      </c>
      <c r="F29" s="15">
        <f t="shared" si="15"/>
        <v>3167.1251119402082</v>
      </c>
    </row>
    <row r="30" spans="1:13" x14ac:dyDescent="0.25">
      <c r="A30" s="14" t="s">
        <v>99</v>
      </c>
      <c r="B30" s="24">
        <f>(B29-B29)/B29</f>
        <v>0</v>
      </c>
      <c r="C30" s="24">
        <f>(C29-B29)/B29</f>
        <v>0.12427663407094647</v>
      </c>
      <c r="D30" s="24">
        <f>(D29-B29)/B29</f>
        <v>-7.5390588230866473E-2</v>
      </c>
      <c r="E30" s="24">
        <f>(E29-B29)/B29</f>
        <v>0.11932093797799755</v>
      </c>
      <c r="F30" s="24">
        <f>(F29-B29)/B29</f>
        <v>-8.5841215743404031E-2</v>
      </c>
    </row>
    <row r="31" spans="1:13" x14ac:dyDescent="0.25">
      <c r="A31" s="5" t="s">
        <v>42</v>
      </c>
      <c r="B31" s="6">
        <f>B4*I9*I10</f>
        <v>1557.5</v>
      </c>
      <c r="C31" s="6">
        <f t="shared" ref="C31:F31" si="16">C4*J9*J10</f>
        <v>4827.0810000000001</v>
      </c>
      <c r="D31" s="6">
        <f t="shared" si="16"/>
        <v>3962.28</v>
      </c>
      <c r="E31" s="6">
        <f t="shared" si="16"/>
        <v>1935.9375</v>
      </c>
      <c r="F31" s="6">
        <f t="shared" si="16"/>
        <v>1575</v>
      </c>
    </row>
    <row r="32" spans="1:13" x14ac:dyDescent="0.25">
      <c r="A32" s="5" t="s">
        <v>59</v>
      </c>
      <c r="B32" s="6">
        <f>B5*I9*I10</f>
        <v>0</v>
      </c>
      <c r="C32" s="6">
        <f t="shared" ref="C32:F32" si="17">C5*J9*J10</f>
        <v>0</v>
      </c>
      <c r="D32" s="6">
        <f t="shared" si="17"/>
        <v>0</v>
      </c>
      <c r="E32" s="6">
        <f t="shared" si="17"/>
        <v>0</v>
      </c>
      <c r="F32" s="6">
        <f t="shared" si="17"/>
        <v>0</v>
      </c>
    </row>
    <row r="33" spans="1:6" x14ac:dyDescent="0.25">
      <c r="A33" s="5" t="s">
        <v>43</v>
      </c>
      <c r="B33" s="6">
        <f>B29*12+B31+B32</f>
        <v>43131.788841067137</v>
      </c>
      <c r="C33" s="6">
        <f>C29*12+C31+C32</f>
        <v>51568.082522128265</v>
      </c>
      <c r="D33" s="6">
        <f>D29*12+D31+D32</f>
        <v>42402.258750059133</v>
      </c>
      <c r="E33" s="6">
        <f>E29*12+E31+E32</f>
        <v>48470.909481351468</v>
      </c>
      <c r="F33" s="6">
        <f>F29*12+F31+F32</f>
        <v>39580.5013432825</v>
      </c>
    </row>
    <row r="34" spans="1:6" x14ac:dyDescent="0.25">
      <c r="A34" s="5" t="s">
        <v>98</v>
      </c>
      <c r="B34" s="23">
        <f>(B33-B33)/B33</f>
        <v>0</v>
      </c>
      <c r="C34" s="23">
        <f>(C33-B33)/B33</f>
        <v>0.19559341051555615</v>
      </c>
      <c r="D34" s="23">
        <f>(D33-B33)/B33</f>
        <v>-1.6913977152586714E-2</v>
      </c>
      <c r="E34" s="23">
        <f>(E33-B33)/B33</f>
        <v>0.12378620928424804</v>
      </c>
      <c r="F34" s="23">
        <f>(F33-B33)/B33</f>
        <v>-8.233573411180535E-2</v>
      </c>
    </row>
    <row r="35" spans="1:6" x14ac:dyDescent="0.25">
      <c r="A35" s="4"/>
      <c r="B35" s="1"/>
      <c r="C35" s="1"/>
      <c r="D35" s="1"/>
      <c r="E35" s="1"/>
      <c r="F35" s="1"/>
    </row>
    <row r="36" spans="1:6" x14ac:dyDescent="0.25">
      <c r="A36" s="4" t="s">
        <v>9</v>
      </c>
      <c r="B36" s="1"/>
      <c r="C36" s="1"/>
      <c r="D36" s="1"/>
      <c r="E36" s="1"/>
      <c r="F36" s="1"/>
    </row>
    <row r="38" spans="1:6" x14ac:dyDescent="0.25">
      <c r="A38" s="4" t="s">
        <v>70</v>
      </c>
      <c r="B38" s="2">
        <v>43.91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5">
      <c r="A39" s="4" t="s">
        <v>8</v>
      </c>
      <c r="B39" s="2">
        <f>(10-2.8)*18</f>
        <v>129.6</v>
      </c>
      <c r="C39" s="2">
        <f>(8.4-2.8)*18</f>
        <v>100.80000000000001</v>
      </c>
      <c r="D39" s="2">
        <f>(8.4-2.8)*14</f>
        <v>78.400000000000006</v>
      </c>
      <c r="E39" s="2">
        <f>(10.8-2.8)*18</f>
        <v>144</v>
      </c>
      <c r="F39" s="2">
        <f>(10.8-2.8)*18*0.8</f>
        <v>115.2</v>
      </c>
    </row>
    <row r="40" spans="1:6" x14ac:dyDescent="0.25">
      <c r="A40" s="4" t="s">
        <v>14</v>
      </c>
      <c r="B40" s="2">
        <v>60</v>
      </c>
      <c r="C40" s="2">
        <f>2.8*18</f>
        <v>50.4</v>
      </c>
      <c r="D40" s="2">
        <f>2.8*14</f>
        <v>39.199999999999996</v>
      </c>
      <c r="E40" s="2">
        <f>2.8*18</f>
        <v>50.4</v>
      </c>
      <c r="F40" s="2">
        <f>2.8*18*0.8</f>
        <v>40.32</v>
      </c>
    </row>
    <row r="41" spans="1:6" x14ac:dyDescent="0.25">
      <c r="A41" s="4" t="s">
        <v>71</v>
      </c>
      <c r="B41" s="2">
        <v>43.91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25">
      <c r="A42" s="4" t="s">
        <v>37</v>
      </c>
      <c r="B42" s="2">
        <v>0</v>
      </c>
      <c r="C42" s="2">
        <v>50</v>
      </c>
      <c r="D42" s="2">
        <v>50</v>
      </c>
      <c r="E42" s="2">
        <v>0</v>
      </c>
      <c r="F42" s="2">
        <v>0</v>
      </c>
    </row>
    <row r="43" spans="1:6" x14ac:dyDescent="0.25">
      <c r="A43" s="4" t="s">
        <v>38</v>
      </c>
      <c r="B43" s="2">
        <v>570</v>
      </c>
      <c r="C43" s="2">
        <v>570</v>
      </c>
      <c r="D43" s="2">
        <v>570</v>
      </c>
      <c r="E43" s="2">
        <v>570</v>
      </c>
      <c r="F43" s="2">
        <v>570</v>
      </c>
    </row>
    <row r="44" spans="1:6" x14ac:dyDescent="0.25">
      <c r="A44" s="4" t="s">
        <v>10</v>
      </c>
      <c r="B44" s="2">
        <v>25</v>
      </c>
      <c r="C44" s="2">
        <v>25</v>
      </c>
      <c r="D44" s="2">
        <v>25</v>
      </c>
      <c r="E44" s="2">
        <v>0</v>
      </c>
      <c r="F44" s="2">
        <v>0</v>
      </c>
    </row>
    <row r="45" spans="1:6" x14ac:dyDescent="0.25">
      <c r="A45" s="4" t="s">
        <v>92</v>
      </c>
      <c r="B45" s="2">
        <f>180*1.17</f>
        <v>210.6</v>
      </c>
      <c r="C45" s="2">
        <v>0</v>
      </c>
      <c r="D45" s="2">
        <v>0</v>
      </c>
      <c r="E45" s="2">
        <f>180*1.17</f>
        <v>210.6</v>
      </c>
      <c r="F45" s="2">
        <f>0.8*E45</f>
        <v>168.48000000000002</v>
      </c>
    </row>
    <row r="46" spans="1:6" x14ac:dyDescent="0.25">
      <c r="A46" s="4"/>
      <c r="B46" s="2"/>
      <c r="C46" s="2"/>
      <c r="D46" s="2"/>
      <c r="E46" s="2"/>
      <c r="F46" s="2"/>
    </row>
    <row r="47" spans="1:6" x14ac:dyDescent="0.25">
      <c r="A47" s="5" t="s">
        <v>39</v>
      </c>
      <c r="B47" s="6">
        <f>B38+B39+B40+B43+B44+B45</f>
        <v>1039.1099999999999</v>
      </c>
      <c r="C47" s="6">
        <f t="shared" ref="C47:F47" si="18">C38+C39+C40+C43+C44+C45</f>
        <v>746.2</v>
      </c>
      <c r="D47" s="6">
        <f t="shared" si="18"/>
        <v>712.6</v>
      </c>
      <c r="E47" s="6">
        <f t="shared" si="18"/>
        <v>975</v>
      </c>
      <c r="F47" s="6">
        <f t="shared" si="18"/>
        <v>894</v>
      </c>
    </row>
    <row r="48" spans="1:6" x14ac:dyDescent="0.25">
      <c r="A48" s="5" t="s">
        <v>73</v>
      </c>
      <c r="B48" s="6">
        <f>B47*12</f>
        <v>12469.32</v>
      </c>
      <c r="C48" s="6">
        <f>C47*12</f>
        <v>8954.4000000000015</v>
      </c>
      <c r="D48" s="6">
        <f>D47*12</f>
        <v>8551.2000000000007</v>
      </c>
      <c r="E48" s="6">
        <f>E47*12</f>
        <v>11700</v>
      </c>
      <c r="F48" s="6">
        <f>F47*12</f>
        <v>10728</v>
      </c>
    </row>
    <row r="49" spans="1:6" x14ac:dyDescent="0.25">
      <c r="A49" s="5" t="s">
        <v>93</v>
      </c>
      <c r="B49" s="6">
        <f>B47+B29</f>
        <v>4503.6340700889277</v>
      </c>
      <c r="C49" s="6">
        <f>C47+C29</f>
        <v>4641.2834601773557</v>
      </c>
      <c r="D49" s="6">
        <f>D47+D29</f>
        <v>3915.931562504928</v>
      </c>
      <c r="E49" s="6">
        <f>E47+E29</f>
        <v>4852.9143317792887</v>
      </c>
      <c r="F49" s="6">
        <f>F47+F29</f>
        <v>4061.1251119402082</v>
      </c>
    </row>
    <row r="50" spans="1:6" x14ac:dyDescent="0.25">
      <c r="A50" s="5" t="s">
        <v>79</v>
      </c>
      <c r="B50" s="23">
        <f>(B49-B49)/B49</f>
        <v>0</v>
      </c>
      <c r="C50" s="23">
        <f>(C49-B49)/B49</f>
        <v>3.056407069185129E-2</v>
      </c>
      <c r="D50" s="23">
        <f>(D49-B49)/B49</f>
        <v>-0.13049517310636988</v>
      </c>
      <c r="E50" s="23">
        <f>(E49-B49)/B49</f>
        <v>7.7555204586917989E-2</v>
      </c>
      <c r="F50" s="23">
        <f>(F49-B49)/B49</f>
        <v>-9.8255975343925286E-2</v>
      </c>
    </row>
    <row r="52" spans="1:6" x14ac:dyDescent="0.25">
      <c r="A52" s="5" t="s">
        <v>74</v>
      </c>
      <c r="B52" s="6">
        <f>B48+B33</f>
        <v>55601.108841067136</v>
      </c>
      <c r="C52" s="6">
        <f>C48+C33</f>
        <v>60522.482522128266</v>
      </c>
      <c r="D52" s="6">
        <f>D48+D33</f>
        <v>50953.45875005913</v>
      </c>
      <c r="E52" s="6">
        <f>E48+E33</f>
        <v>60170.909481351468</v>
      </c>
      <c r="F52" s="6">
        <f>F48+F33</f>
        <v>50308.5013432825</v>
      </c>
    </row>
    <row r="53" spans="1:6" x14ac:dyDescent="0.25">
      <c r="A53" s="18" t="s">
        <v>79</v>
      </c>
      <c r="B53" s="20">
        <f>(B52-B52)/B52</f>
        <v>0</v>
      </c>
      <c r="C53" s="20">
        <f>(C52-B52)/B52</f>
        <v>8.8512149912848309E-2</v>
      </c>
      <c r="D53" s="20">
        <f>(D52-B52)/B52</f>
        <v>-8.3589161940871931E-2</v>
      </c>
      <c r="E53" s="20">
        <f>(E52-B52)/B52</f>
        <v>8.2189019887118936E-2</v>
      </c>
      <c r="F53" s="20">
        <f>(F52-B52)/B52</f>
        <v>-9.5188883964765492E-2</v>
      </c>
    </row>
    <row r="54" spans="1:6" x14ac:dyDescent="0.25">
      <c r="A54" s="18" t="s">
        <v>75</v>
      </c>
      <c r="B54" s="19">
        <v>25</v>
      </c>
      <c r="C54" s="19">
        <v>28</v>
      </c>
      <c r="D54" s="19">
        <f>0.8*C54</f>
        <v>22.400000000000002</v>
      </c>
      <c r="E54" s="19">
        <v>25</v>
      </c>
      <c r="F54" s="19">
        <f>0.8*E54</f>
        <v>20</v>
      </c>
    </row>
    <row r="55" spans="1:6" x14ac:dyDescent="0.25">
      <c r="A55" s="18" t="s">
        <v>81</v>
      </c>
      <c r="B55" s="19">
        <v>10</v>
      </c>
      <c r="C55" s="19">
        <v>10</v>
      </c>
      <c r="D55" s="19">
        <f>0.8*C55</f>
        <v>8</v>
      </c>
      <c r="E55" s="19">
        <v>10</v>
      </c>
      <c r="F55" s="19">
        <f>0.8*E55</f>
        <v>8</v>
      </c>
    </row>
    <row r="56" spans="1:6" x14ac:dyDescent="0.25">
      <c r="A56" s="18" t="s">
        <v>82</v>
      </c>
      <c r="B56" s="19">
        <v>0</v>
      </c>
      <c r="C56" s="19">
        <v>0</v>
      </c>
      <c r="D56" s="19">
        <v>52</v>
      </c>
      <c r="E56" s="19">
        <v>0</v>
      </c>
      <c r="F56" s="19">
        <v>52</v>
      </c>
    </row>
    <row r="57" spans="1:6" x14ac:dyDescent="0.25">
      <c r="A57" s="18" t="s">
        <v>83</v>
      </c>
      <c r="B57" s="19">
        <f>SUM(B54:B56)</f>
        <v>35</v>
      </c>
      <c r="C57" s="19">
        <f t="shared" ref="C57:F57" si="19">SUM(C54:C56)</f>
        <v>38</v>
      </c>
      <c r="D57" s="19">
        <f t="shared" si="19"/>
        <v>82.4</v>
      </c>
      <c r="E57" s="19">
        <f t="shared" si="19"/>
        <v>35</v>
      </c>
      <c r="F57" s="19">
        <f t="shared" si="19"/>
        <v>80</v>
      </c>
    </row>
    <row r="58" spans="1:6" x14ac:dyDescent="0.25">
      <c r="A58" s="18" t="s">
        <v>84</v>
      </c>
      <c r="B58" s="19">
        <f>365-104-B57</f>
        <v>226</v>
      </c>
      <c r="C58" s="19">
        <f t="shared" ref="C58:F58" si="20">365-104-C57</f>
        <v>223</v>
      </c>
      <c r="D58" s="19">
        <f t="shared" si="20"/>
        <v>178.6</v>
      </c>
      <c r="E58" s="19">
        <f t="shared" si="20"/>
        <v>226</v>
      </c>
      <c r="F58" s="19">
        <f t="shared" si="20"/>
        <v>181</v>
      </c>
    </row>
    <row r="59" spans="1:6" x14ac:dyDescent="0.25">
      <c r="A59" s="18" t="s">
        <v>76</v>
      </c>
      <c r="B59" s="19" t="s">
        <v>77</v>
      </c>
      <c r="C59" s="19" t="s">
        <v>77</v>
      </c>
      <c r="D59" s="19" t="s">
        <v>77</v>
      </c>
      <c r="E59" s="19" t="s">
        <v>77</v>
      </c>
      <c r="F59" s="19" t="s">
        <v>77</v>
      </c>
    </row>
    <row r="60" spans="1:6" x14ac:dyDescent="0.25">
      <c r="A60" s="18" t="s">
        <v>78</v>
      </c>
      <c r="B60" s="19"/>
      <c r="C60" s="19" t="s">
        <v>77</v>
      </c>
      <c r="D60" s="19" t="s">
        <v>77</v>
      </c>
      <c r="E60" s="19"/>
      <c r="F60" s="19"/>
    </row>
    <row r="61" spans="1:6" x14ac:dyDescent="0.25">
      <c r="A61" s="18" t="s">
        <v>85</v>
      </c>
      <c r="B61" s="19" t="s">
        <v>77</v>
      </c>
      <c r="C61" s="19"/>
      <c r="D61" s="19"/>
      <c r="E61" s="19" t="s">
        <v>77</v>
      </c>
      <c r="F61" s="19" t="s">
        <v>77</v>
      </c>
    </row>
    <row r="62" spans="1:6" x14ac:dyDescent="0.25">
      <c r="A62" s="18" t="s">
        <v>88</v>
      </c>
      <c r="B62" s="19">
        <v>75</v>
      </c>
      <c r="C62" s="19">
        <v>50</v>
      </c>
      <c r="D62" s="19">
        <v>50</v>
      </c>
      <c r="E62" s="19">
        <v>50</v>
      </c>
      <c r="F62" s="19">
        <v>50</v>
      </c>
    </row>
    <row r="63" spans="1:6" x14ac:dyDescent="0.25">
      <c r="A63" s="18" t="s">
        <v>87</v>
      </c>
      <c r="B63" s="19">
        <f>B62*2</f>
        <v>150</v>
      </c>
      <c r="C63" s="19">
        <f t="shared" ref="C63:F63" si="21">C62*2</f>
        <v>100</v>
      </c>
      <c r="D63" s="19">
        <f t="shared" si="21"/>
        <v>100</v>
      </c>
      <c r="E63" s="19">
        <f t="shared" si="21"/>
        <v>100</v>
      </c>
      <c r="F63" s="19">
        <f t="shared" si="21"/>
        <v>100</v>
      </c>
    </row>
    <row r="64" spans="1:6" x14ac:dyDescent="0.25">
      <c r="A64" s="18" t="s">
        <v>89</v>
      </c>
      <c r="B64" s="22">
        <f>B63*B58/60/24</f>
        <v>23.541666666666668</v>
      </c>
      <c r="C64" s="22">
        <f t="shared" ref="C64:F64" si="22">C63*C58/60/24</f>
        <v>15.486111111111112</v>
      </c>
      <c r="D64" s="22">
        <f t="shared" si="22"/>
        <v>12.402777777777779</v>
      </c>
      <c r="E64" s="22">
        <f t="shared" si="22"/>
        <v>15.694444444444445</v>
      </c>
      <c r="F64" s="22">
        <f t="shared" si="22"/>
        <v>12.569444444444445</v>
      </c>
    </row>
    <row r="65" spans="1:6" x14ac:dyDescent="0.25">
      <c r="A65" s="18" t="s">
        <v>91</v>
      </c>
      <c r="B65" s="1">
        <v>62.2</v>
      </c>
      <c r="C65" s="1">
        <v>64.8</v>
      </c>
      <c r="D65" s="1">
        <v>64.8</v>
      </c>
      <c r="E65" s="1">
        <v>55</v>
      </c>
      <c r="F65" s="1">
        <v>55</v>
      </c>
    </row>
    <row r="66" spans="1:6" x14ac:dyDescent="0.25">
      <c r="A66" s="18" t="s">
        <v>90</v>
      </c>
      <c r="B66" s="1">
        <f>2*B65</f>
        <v>124.4</v>
      </c>
      <c r="C66" s="1">
        <f t="shared" ref="C66:F66" si="23">2*C65</f>
        <v>129.6</v>
      </c>
      <c r="D66" s="1">
        <f t="shared" si="23"/>
        <v>129.6</v>
      </c>
      <c r="E66" s="1">
        <f t="shared" si="23"/>
        <v>110</v>
      </c>
      <c r="F66" s="1">
        <f t="shared" si="23"/>
        <v>110</v>
      </c>
    </row>
    <row r="67" spans="1:6" x14ac:dyDescent="0.25">
      <c r="A67" s="18" t="s">
        <v>86</v>
      </c>
      <c r="B67" s="1">
        <f>B66*B58</f>
        <v>28114.400000000001</v>
      </c>
      <c r="C67" s="1">
        <f t="shared" ref="C67:F67" si="24">C66*C58</f>
        <v>28900.799999999999</v>
      </c>
      <c r="D67" s="1">
        <f t="shared" si="24"/>
        <v>23146.559999999998</v>
      </c>
      <c r="E67" s="1">
        <f t="shared" si="24"/>
        <v>24860</v>
      </c>
      <c r="F67" s="1">
        <f t="shared" si="24"/>
        <v>19910</v>
      </c>
    </row>
    <row r="68" spans="1:6" x14ac:dyDescent="0.25">
      <c r="A68" s="18" t="s">
        <v>94</v>
      </c>
      <c r="B68" s="1">
        <f>B67/100*5.5</f>
        <v>1546.2919999999999</v>
      </c>
      <c r="C68" s="1">
        <f t="shared" ref="C68:F68" si="25">C67/100*5.5</f>
        <v>1589.5439999999999</v>
      </c>
      <c r="D68" s="1">
        <f t="shared" si="25"/>
        <v>1273.0607999999997</v>
      </c>
      <c r="E68" s="1">
        <f t="shared" si="25"/>
        <v>1367.3</v>
      </c>
      <c r="F68" s="1">
        <f t="shared" si="25"/>
        <v>1095.05</v>
      </c>
    </row>
    <row r="69" spans="1:6" x14ac:dyDescent="0.25">
      <c r="A69" s="18" t="s">
        <v>96</v>
      </c>
      <c r="B69" s="2">
        <f>B68*I12</f>
        <v>1589.588176</v>
      </c>
      <c r="C69" s="2">
        <f t="shared" ref="C69:F69" si="26">C68*J12</f>
        <v>1634.0512319999998</v>
      </c>
      <c r="D69" s="2">
        <f t="shared" si="26"/>
        <v>1308.7065023999999</v>
      </c>
      <c r="E69" s="2">
        <f t="shared" si="26"/>
        <v>1405.5844</v>
      </c>
      <c r="F69" s="2">
        <f t="shared" si="26"/>
        <v>1125.7113999999999</v>
      </c>
    </row>
    <row r="70" spans="1:6" x14ac:dyDescent="0.25">
      <c r="A70" s="18" t="s">
        <v>97</v>
      </c>
      <c r="B70" s="2">
        <f>B69/12</f>
        <v>132.46568133333332</v>
      </c>
      <c r="C70" s="2">
        <f t="shared" ref="C70:F70" si="27">C69/12</f>
        <v>136.17093599999998</v>
      </c>
      <c r="D70" s="2">
        <f t="shared" si="27"/>
        <v>109.05887519999999</v>
      </c>
      <c r="E70" s="2">
        <f t="shared" si="27"/>
        <v>117.13203333333333</v>
      </c>
      <c r="F70" s="2">
        <f t="shared" si="27"/>
        <v>93.809283333333326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workbookViewId="0">
      <selection activeCell="D31" sqref="D31"/>
    </sheetView>
  </sheetViews>
  <sheetFormatPr baseColWidth="10" defaultRowHeight="15" x14ac:dyDescent="0.25"/>
  <cols>
    <col min="1" max="1" width="31.140625" bestFit="1" customWidth="1"/>
  </cols>
  <sheetData>
    <row r="1" spans="1:3" x14ac:dyDescent="0.25">
      <c r="A1" t="s">
        <v>44</v>
      </c>
      <c r="B1">
        <v>40000</v>
      </c>
    </row>
    <row r="2" spans="1:3" x14ac:dyDescent="0.25">
      <c r="A2" t="s">
        <v>45</v>
      </c>
      <c r="B2">
        <f>B1/12</f>
        <v>3333.3333333333335</v>
      </c>
    </row>
    <row r="3" spans="1:3" x14ac:dyDescent="0.25">
      <c r="A3" t="s">
        <v>46</v>
      </c>
      <c r="B3">
        <v>6</v>
      </c>
    </row>
    <row r="4" spans="1:3" x14ac:dyDescent="0.25">
      <c r="A4" t="s">
        <v>47</v>
      </c>
      <c r="B4">
        <f>B2/100*B3</f>
        <v>200</v>
      </c>
    </row>
    <row r="5" spans="1:3" x14ac:dyDescent="0.25">
      <c r="A5" t="s">
        <v>48</v>
      </c>
      <c r="B5">
        <f>B4*12</f>
        <v>2400</v>
      </c>
    </row>
    <row r="7" spans="1:3" x14ac:dyDescent="0.25">
      <c r="A7" t="s">
        <v>49</v>
      </c>
      <c r="B7" s="7">
        <v>1.028</v>
      </c>
    </row>
    <row r="8" spans="1:3" x14ac:dyDescent="0.25">
      <c r="A8" t="s">
        <v>50</v>
      </c>
      <c r="B8" s="7">
        <f>B7*B4</f>
        <v>205.6</v>
      </c>
    </row>
    <row r="9" spans="1:3" x14ac:dyDescent="0.25">
      <c r="A9" t="s">
        <v>51</v>
      </c>
      <c r="B9" s="7">
        <f>B8*12</f>
        <v>2467.1999999999998</v>
      </c>
    </row>
    <row r="10" spans="1:3" x14ac:dyDescent="0.25">
      <c r="A10" t="s">
        <v>52</v>
      </c>
      <c r="B10" s="7">
        <v>0.02</v>
      </c>
    </row>
    <row r="11" spans="1:3" x14ac:dyDescent="0.25">
      <c r="A11" t="s">
        <v>53</v>
      </c>
      <c r="B11" s="7">
        <f>B4*B10</f>
        <v>4</v>
      </c>
    </row>
    <row r="12" spans="1:3" x14ac:dyDescent="0.25">
      <c r="A12" s="7" t="s">
        <v>54</v>
      </c>
      <c r="B12" s="7">
        <f>B5*B10</f>
        <v>48</v>
      </c>
    </row>
    <row r="14" spans="1:3" x14ac:dyDescent="0.25">
      <c r="A14" s="1" t="s">
        <v>55</v>
      </c>
      <c r="B14" s="1">
        <v>4600</v>
      </c>
      <c r="C14" s="1">
        <f>12*B14</f>
        <v>55200</v>
      </c>
    </row>
    <row r="15" spans="1:3" x14ac:dyDescent="0.25">
      <c r="A15" s="1" t="s">
        <v>6</v>
      </c>
      <c r="B15" s="1">
        <v>43.91</v>
      </c>
      <c r="C15" s="1">
        <f>12*B15</f>
        <v>526.91999999999996</v>
      </c>
    </row>
    <row r="16" spans="1:3" x14ac:dyDescent="0.25">
      <c r="A16" s="1" t="s">
        <v>7</v>
      </c>
      <c r="B16" s="1">
        <v>750</v>
      </c>
      <c r="C16" s="1">
        <f>12*B16</f>
        <v>9000</v>
      </c>
    </row>
    <row r="17" spans="1:5" x14ac:dyDescent="0.25">
      <c r="A17" s="1" t="s">
        <v>56</v>
      </c>
      <c r="B17" s="1">
        <f>(10.4-2.8)*18</f>
        <v>136.80000000000001</v>
      </c>
      <c r="C17" s="1">
        <f>B17*12</f>
        <v>1641.6000000000001</v>
      </c>
    </row>
    <row r="18" spans="1:5" x14ac:dyDescent="0.25">
      <c r="A18" s="1"/>
      <c r="B18" s="1"/>
      <c r="C18" s="1">
        <f>SUM(C14:C17)</f>
        <v>66368.52</v>
      </c>
    </row>
    <row r="21" spans="1:5" x14ac:dyDescent="0.25">
      <c r="A21" s="1" t="s">
        <v>16</v>
      </c>
      <c r="B21" s="1"/>
    </row>
    <row r="22" spans="1:5" x14ac:dyDescent="0.25">
      <c r="A22" s="1" t="s">
        <v>17</v>
      </c>
      <c r="B22" s="2">
        <v>950</v>
      </c>
      <c r="D22" s="4" t="s">
        <v>35</v>
      </c>
      <c r="E22" s="1">
        <v>3050</v>
      </c>
    </row>
    <row r="23" spans="1:5" x14ac:dyDescent="0.25">
      <c r="A23" s="1" t="s">
        <v>18</v>
      </c>
      <c r="B23" s="2">
        <v>400</v>
      </c>
      <c r="D23" s="4" t="s">
        <v>36</v>
      </c>
      <c r="E23" s="1">
        <v>1800</v>
      </c>
    </row>
    <row r="24" spans="1:5" x14ac:dyDescent="0.25">
      <c r="A24" s="1" t="s">
        <v>7</v>
      </c>
      <c r="B24" s="2">
        <v>270</v>
      </c>
      <c r="D24" s="4" t="s">
        <v>21</v>
      </c>
      <c r="E24" s="1">
        <f>SUM(E22:E23)</f>
        <v>4850</v>
      </c>
    </row>
    <row r="25" spans="1:5" x14ac:dyDescent="0.25">
      <c r="A25" s="1" t="s">
        <v>19</v>
      </c>
      <c r="B25" s="2">
        <v>600</v>
      </c>
    </row>
    <row r="26" spans="1:5" x14ac:dyDescent="0.25">
      <c r="A26" s="1"/>
      <c r="B26" s="2"/>
    </row>
    <row r="27" spans="1:5" x14ac:dyDescent="0.25">
      <c r="A27" s="1"/>
      <c r="B27" s="2"/>
    </row>
    <row r="28" spans="1:5" x14ac:dyDescent="0.25">
      <c r="A28" s="1"/>
      <c r="B28" s="2"/>
    </row>
    <row r="29" spans="1:5" x14ac:dyDescent="0.25">
      <c r="A29" s="1" t="s">
        <v>34</v>
      </c>
      <c r="B29" s="2">
        <v>125</v>
      </c>
    </row>
    <row r="30" spans="1:5" x14ac:dyDescent="0.25">
      <c r="A30" s="1" t="s">
        <v>32</v>
      </c>
      <c r="B30" s="2">
        <v>205</v>
      </c>
    </row>
    <row r="31" spans="1:5" x14ac:dyDescent="0.25">
      <c r="A31" s="1" t="s">
        <v>20</v>
      </c>
      <c r="B31" s="2">
        <v>67</v>
      </c>
    </row>
    <row r="32" spans="1:5" x14ac:dyDescent="0.25">
      <c r="A32" s="1" t="s">
        <v>22</v>
      </c>
      <c r="B32" s="2">
        <v>125</v>
      </c>
    </row>
    <row r="33" spans="1:2" x14ac:dyDescent="0.25">
      <c r="A33" s="1" t="s">
        <v>23</v>
      </c>
      <c r="B33" s="2">
        <v>200</v>
      </c>
    </row>
    <row r="34" spans="1:2" x14ac:dyDescent="0.25">
      <c r="A34" s="1" t="s">
        <v>24</v>
      </c>
      <c r="B34" s="2">
        <v>10</v>
      </c>
    </row>
    <row r="35" spans="1:2" x14ac:dyDescent="0.25">
      <c r="A35" s="1" t="s">
        <v>25</v>
      </c>
      <c r="B35" s="2">
        <v>65</v>
      </c>
    </row>
    <row r="36" spans="1:2" x14ac:dyDescent="0.25">
      <c r="A36" s="1"/>
      <c r="B36" s="2"/>
    </row>
    <row r="37" spans="1:2" x14ac:dyDescent="0.25">
      <c r="A37" s="1" t="s">
        <v>26</v>
      </c>
      <c r="B37" s="2">
        <v>30</v>
      </c>
    </row>
    <row r="38" spans="1:2" x14ac:dyDescent="0.25">
      <c r="A38" s="1" t="s">
        <v>27</v>
      </c>
      <c r="B38" s="2">
        <v>50</v>
      </c>
    </row>
    <row r="39" spans="1:2" x14ac:dyDescent="0.25">
      <c r="A39" s="1" t="s">
        <v>28</v>
      </c>
      <c r="B39" s="2">
        <v>5</v>
      </c>
    </row>
    <row r="40" spans="1:2" x14ac:dyDescent="0.25">
      <c r="A40" s="1" t="s">
        <v>29</v>
      </c>
      <c r="B40" s="2">
        <v>25</v>
      </c>
    </row>
    <row r="41" spans="1:2" x14ac:dyDescent="0.25">
      <c r="A41" s="3" t="s">
        <v>30</v>
      </c>
      <c r="B41" s="2">
        <v>50</v>
      </c>
    </row>
    <row r="42" spans="1:2" x14ac:dyDescent="0.25">
      <c r="A42" s="3" t="s">
        <v>31</v>
      </c>
      <c r="B42" s="2">
        <v>150</v>
      </c>
    </row>
    <row r="43" spans="1:2" x14ac:dyDescent="0.25">
      <c r="A43" s="3" t="s">
        <v>33</v>
      </c>
      <c r="B43" s="2">
        <v>160</v>
      </c>
    </row>
    <row r="44" spans="1:2" x14ac:dyDescent="0.25">
      <c r="A44" s="1"/>
      <c r="B44" s="1"/>
    </row>
    <row r="45" spans="1:2" x14ac:dyDescent="0.25">
      <c r="A45" s="1" t="s">
        <v>21</v>
      </c>
      <c r="B45" s="2">
        <f>SUM(B22:B43)</f>
        <v>3487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Foyer Assurances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MOUTON</dc:creator>
  <cp:lastModifiedBy>Emmanuel MOUTON</cp:lastModifiedBy>
  <dcterms:created xsi:type="dcterms:W3CDTF">2017-11-28T13:48:59Z</dcterms:created>
  <dcterms:modified xsi:type="dcterms:W3CDTF">2017-12-21T07:56:08Z</dcterms:modified>
</cp:coreProperties>
</file>