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5315" windowHeight="10800"/>
  </bookViews>
  <sheets>
    <sheet name="DForiginal" sheetId="1" r:id="rId1"/>
    <sheet name="Means&amp;SD" sheetId="2" r:id="rId2"/>
    <sheet name="performance" sheetId="4" r:id="rId3"/>
    <sheet name="experience" sheetId="5" r:id="rId4"/>
  </sheets>
  <calcPr calcId="145621"/>
</workbook>
</file>

<file path=xl/calcChain.xml><?xml version="1.0" encoding="utf-8"?>
<calcChain xmlns="http://schemas.openxmlformats.org/spreadsheetml/2006/main">
  <c r="D50" i="1" l="1"/>
  <c r="D49" i="1"/>
  <c r="DD118" i="5" l="1"/>
  <c r="DE118" i="5"/>
  <c r="DF118" i="5"/>
  <c r="DG118" i="5"/>
  <c r="DC118" i="5"/>
  <c r="CY110" i="5"/>
  <c r="CY109" i="5"/>
  <c r="CY108" i="5"/>
  <c r="CY107" i="5"/>
  <c r="CY106" i="5"/>
  <c r="CY105" i="5"/>
  <c r="CY104" i="5"/>
  <c r="V50" i="1" l="1"/>
  <c r="O50" i="1"/>
  <c r="BZ50" i="1"/>
  <c r="BS50" i="1"/>
  <c r="BL50" i="1"/>
  <c r="BE50" i="1"/>
  <c r="AC50" i="1"/>
  <c r="AX50" i="1"/>
  <c r="AJ50" i="1"/>
  <c r="AQ50" i="1"/>
  <c r="AB50" i="1"/>
  <c r="AI50" i="1"/>
  <c r="AP50" i="1"/>
  <c r="AW50" i="1"/>
  <c r="BD50" i="1"/>
  <c r="BK50" i="1"/>
  <c r="BR50" i="1"/>
  <c r="BY50" i="1"/>
  <c r="U50" i="1"/>
  <c r="N50" i="1"/>
  <c r="BN71" i="1" l="1"/>
  <c r="BN70" i="1"/>
  <c r="BN61" i="1"/>
  <c r="BN60" i="1"/>
  <c r="O34" i="2"/>
  <c r="O33" i="2"/>
  <c r="O32" i="2"/>
  <c r="O31" i="2"/>
  <c r="O30" i="2"/>
  <c r="N33" i="2"/>
  <c r="N34" i="2"/>
  <c r="N32" i="2"/>
  <c r="N31" i="2"/>
  <c r="N30" i="2"/>
  <c r="O25" i="2"/>
  <c r="O26" i="2"/>
  <c r="O27" i="2"/>
  <c r="O28" i="2"/>
  <c r="O29" i="2"/>
  <c r="N29" i="2"/>
  <c r="N28" i="2"/>
  <c r="N27" i="2"/>
  <c r="N26" i="2"/>
  <c r="N25" i="2"/>
  <c r="O40" i="2"/>
  <c r="O39" i="2"/>
  <c r="N40" i="2"/>
  <c r="N39" i="2"/>
  <c r="J452" i="4" l="1"/>
  <c r="G50" i="1" l="1"/>
  <c r="G49" i="1"/>
  <c r="F50" i="1"/>
  <c r="F49" i="1"/>
  <c r="CH3" i="1" l="1"/>
  <c r="CH4" i="1"/>
  <c r="CH5" i="1"/>
  <c r="CH6" i="1"/>
  <c r="CH7" i="1"/>
  <c r="CH8" i="1"/>
  <c r="CH9" i="1"/>
  <c r="CH10" i="1"/>
  <c r="CH11" i="1"/>
  <c r="CH12" i="1"/>
  <c r="CH13" i="1"/>
  <c r="CH14" i="1"/>
  <c r="CH15" i="1"/>
  <c r="CH16" i="1"/>
  <c r="CH17" i="1"/>
  <c r="CH18" i="1"/>
  <c r="CH19" i="1"/>
  <c r="CH20"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2" i="1"/>
  <c r="CG46" i="1" l="1"/>
  <c r="CG48" i="1" s="1"/>
  <c r="CF46" i="1"/>
  <c r="CS47" i="1"/>
  <c r="CT47" i="1"/>
  <c r="CU47" i="1"/>
  <c r="CV47" i="1"/>
  <c r="CW47" i="1"/>
  <c r="CS48" i="1"/>
  <c r="CT48" i="1"/>
  <c r="CU48" i="1"/>
  <c r="CV48" i="1"/>
  <c r="CW48" i="1"/>
  <c r="D48" i="1"/>
  <c r="D47" i="1"/>
  <c r="G47" i="1"/>
  <c r="H47" i="1"/>
  <c r="I47" i="1"/>
  <c r="J47" i="1"/>
  <c r="K47" i="1"/>
  <c r="M47" i="1"/>
  <c r="N47" i="1"/>
  <c r="O47" i="1"/>
  <c r="P47" i="1"/>
  <c r="Q47" i="1"/>
  <c r="R47" i="1"/>
  <c r="S47" i="1"/>
  <c r="U47" i="1"/>
  <c r="V47" i="1"/>
  <c r="W47" i="1"/>
  <c r="X47" i="1"/>
  <c r="Z47" i="1"/>
  <c r="AB47" i="1"/>
  <c r="AC47" i="1"/>
  <c r="AD47" i="1"/>
  <c r="AE47" i="1"/>
  <c r="AG47" i="1"/>
  <c r="AI47" i="1"/>
  <c r="AJ47" i="1"/>
  <c r="AK47" i="1"/>
  <c r="AL47" i="1"/>
  <c r="AN47" i="1"/>
  <c r="AP47" i="1"/>
  <c r="AQ47" i="1"/>
  <c r="AR47" i="1"/>
  <c r="AS47" i="1"/>
  <c r="AT47" i="1"/>
  <c r="AU47" i="1"/>
  <c r="AW47" i="1"/>
  <c r="AX47" i="1"/>
  <c r="AY47" i="1"/>
  <c r="AZ47" i="1"/>
  <c r="BB47" i="1"/>
  <c r="BD47" i="1"/>
  <c r="BE47" i="1"/>
  <c r="BF47" i="1"/>
  <c r="BG47" i="1"/>
  <c r="BH47" i="1"/>
  <c r="BI47" i="1"/>
  <c r="BK47" i="1"/>
  <c r="BL47" i="1"/>
  <c r="BM47" i="1"/>
  <c r="BN47" i="1"/>
  <c r="BP47" i="1"/>
  <c r="BR47" i="1"/>
  <c r="BS47" i="1"/>
  <c r="BT47" i="1"/>
  <c r="BU47" i="1"/>
  <c r="BW47" i="1"/>
  <c r="BY47" i="1"/>
  <c r="BZ47" i="1"/>
  <c r="CA47" i="1"/>
  <c r="CB47" i="1"/>
  <c r="CC47" i="1"/>
  <c r="CD47" i="1"/>
  <c r="CG47" i="1"/>
  <c r="CJ47" i="1"/>
  <c r="CK47" i="1"/>
  <c r="CL47" i="1"/>
  <c r="CM47" i="1"/>
  <c r="CN47" i="1"/>
  <c r="F47" i="1"/>
  <c r="G48" i="1"/>
  <c r="H48" i="1"/>
  <c r="I48" i="1"/>
  <c r="J48" i="1"/>
  <c r="K48" i="1"/>
  <c r="M48" i="1"/>
  <c r="N48" i="1"/>
  <c r="O48" i="1"/>
  <c r="P48" i="1"/>
  <c r="Q48" i="1"/>
  <c r="R48" i="1"/>
  <c r="S48" i="1"/>
  <c r="U48" i="1"/>
  <c r="V48" i="1"/>
  <c r="W48" i="1"/>
  <c r="X48" i="1"/>
  <c r="Y48" i="1"/>
  <c r="Z48" i="1"/>
  <c r="AB48" i="1"/>
  <c r="AC48" i="1"/>
  <c r="AD48" i="1"/>
  <c r="AE48" i="1"/>
  <c r="AG48" i="1"/>
  <c r="AI48" i="1"/>
  <c r="AJ48" i="1"/>
  <c r="AK48" i="1"/>
  <c r="AL48" i="1"/>
  <c r="AN48" i="1"/>
  <c r="AP48" i="1"/>
  <c r="AQ48" i="1"/>
  <c r="AR48" i="1"/>
  <c r="AS48" i="1"/>
  <c r="AT48" i="1"/>
  <c r="AU48" i="1"/>
  <c r="AW48" i="1"/>
  <c r="AX48" i="1"/>
  <c r="AY48" i="1"/>
  <c r="AZ48" i="1"/>
  <c r="BB48" i="1"/>
  <c r="BD48" i="1"/>
  <c r="BE48" i="1"/>
  <c r="BF48" i="1"/>
  <c r="BG48" i="1"/>
  <c r="BH48" i="1"/>
  <c r="BI48" i="1"/>
  <c r="BK48" i="1"/>
  <c r="BL48" i="1"/>
  <c r="BM48" i="1"/>
  <c r="BN48" i="1"/>
  <c r="BO48" i="1"/>
  <c r="BP48" i="1"/>
  <c r="BR48" i="1"/>
  <c r="BS48" i="1"/>
  <c r="BT48" i="1"/>
  <c r="BU48" i="1"/>
  <c r="BW48" i="1"/>
  <c r="BY48" i="1"/>
  <c r="BZ48" i="1"/>
  <c r="CA48" i="1"/>
  <c r="CB48" i="1"/>
  <c r="CD48" i="1"/>
  <c r="CJ48" i="1"/>
  <c r="CK48" i="1"/>
  <c r="CL48" i="1"/>
  <c r="CM48" i="1"/>
  <c r="CN48" i="1"/>
  <c r="F48" i="1"/>
  <c r="W45" i="1"/>
  <c r="CG45" i="1"/>
  <c r="CF45" i="1"/>
  <c r="AT45" i="1"/>
  <c r="BF45" i="1"/>
  <c r="CA45" i="1"/>
  <c r="BT44" i="1"/>
  <c r="CG44" i="1"/>
  <c r="CF44" i="1"/>
  <c r="CA44" i="1"/>
  <c r="BF44" i="1"/>
  <c r="BH44" i="1" s="1"/>
  <c r="CG43" i="1"/>
  <c r="CF43" i="1"/>
  <c r="CG42" i="1"/>
  <c r="CF42" i="1"/>
  <c r="J42" i="1"/>
  <c r="AD41" i="1"/>
  <c r="AY41" i="1"/>
  <c r="J41" i="1"/>
  <c r="CC42" i="1"/>
  <c r="CC43" i="1"/>
  <c r="CC44" i="1"/>
  <c r="CC45" i="1"/>
  <c r="CC46" i="1"/>
  <c r="CC48" i="1" s="1"/>
  <c r="BV42" i="1"/>
  <c r="BV43" i="1"/>
  <c r="BV44" i="1"/>
  <c r="BV45" i="1"/>
  <c r="BV46" i="1"/>
  <c r="BV48" i="1" s="1"/>
  <c r="BO42" i="1"/>
  <c r="BO43" i="1"/>
  <c r="BO44" i="1"/>
  <c r="BO45" i="1"/>
  <c r="BO46" i="1"/>
  <c r="BO47" i="1" s="1"/>
  <c r="BH42" i="1"/>
  <c r="BH43" i="1"/>
  <c r="BH45" i="1"/>
  <c r="BH46" i="1"/>
  <c r="BA42" i="1"/>
  <c r="BA43" i="1"/>
  <c r="BA44" i="1"/>
  <c r="BA45" i="1"/>
  <c r="BA46" i="1"/>
  <c r="AT42" i="1"/>
  <c r="AT43" i="1"/>
  <c r="AT44" i="1"/>
  <c r="AT46" i="1"/>
  <c r="AM42" i="1"/>
  <c r="AM43" i="1"/>
  <c r="AM44" i="1"/>
  <c r="AM45" i="1"/>
  <c r="AM46" i="1"/>
  <c r="AM48" i="1" s="1"/>
  <c r="AF42" i="1"/>
  <c r="AF43" i="1"/>
  <c r="AF44" i="1"/>
  <c r="AF45" i="1"/>
  <c r="AF46" i="1"/>
  <c r="AF48" i="1" s="1"/>
  <c r="Y42" i="1"/>
  <c r="Y43" i="1"/>
  <c r="Y44" i="1"/>
  <c r="Y45" i="1"/>
  <c r="Y46" i="1"/>
  <c r="Y47" i="1" s="1"/>
  <c r="L42" i="1"/>
  <c r="L43" i="1"/>
  <c r="L44" i="1"/>
  <c r="L45" i="1"/>
  <c r="L46" i="1"/>
  <c r="R42" i="1"/>
  <c r="R43" i="1"/>
  <c r="R44" i="1"/>
  <c r="R45" i="1"/>
  <c r="R46" i="1"/>
  <c r="W40" i="1"/>
  <c r="BT40" i="1"/>
  <c r="P40" i="1"/>
  <c r="CA40" i="1"/>
  <c r="BM40" i="1"/>
  <c r="AD40" i="1"/>
  <c r="J40" i="1"/>
  <c r="AK39" i="1"/>
  <c r="BF39" i="1"/>
  <c r="AD39" i="1"/>
  <c r="BM39" i="1"/>
  <c r="CA39" i="1"/>
  <c r="P39" i="1"/>
  <c r="BT39" i="1"/>
  <c r="BM37" i="1"/>
  <c r="P35" i="1"/>
  <c r="J35" i="1"/>
  <c r="BM34" i="1"/>
  <c r="P34" i="1"/>
  <c r="BF34" i="1"/>
  <c r="AD34" i="1"/>
  <c r="CA34" i="1"/>
  <c r="BT34" i="1"/>
  <c r="J34" i="1"/>
  <c r="BT33" i="1"/>
  <c r="CA33" i="1"/>
  <c r="W33" i="1"/>
  <c r="P33" i="1"/>
  <c r="J33" i="1"/>
  <c r="CA32" i="1"/>
  <c r="AR32" i="1"/>
  <c r="BT32" i="1"/>
  <c r="AY32" i="1"/>
  <c r="J32" i="1"/>
  <c r="AY31" i="1"/>
  <c r="BT31" i="1"/>
  <c r="AR31" i="1"/>
  <c r="CA31" i="1"/>
  <c r="W31" i="1"/>
  <c r="AD31" i="1"/>
  <c r="P31" i="1"/>
  <c r="AK31" i="1"/>
  <c r="BM31" i="1"/>
  <c r="BF31" i="1"/>
  <c r="AK30" i="1"/>
  <c r="BF30" i="1"/>
  <c r="AD30" i="1"/>
  <c r="BM30" i="1"/>
  <c r="AR29" i="1"/>
  <c r="AY29" i="1"/>
  <c r="BM29" i="1"/>
  <c r="AK28" i="1"/>
  <c r="AR28" i="1"/>
  <c r="AD28" i="1"/>
  <c r="J28" i="1"/>
  <c r="W27" i="1"/>
  <c r="AR27" i="1"/>
  <c r="P27" i="1"/>
  <c r="BM27" i="1"/>
  <c r="AY27" i="1"/>
  <c r="BT27" i="1"/>
  <c r="CA27" i="1"/>
  <c r="AK27" i="1"/>
  <c r="AD27" i="1"/>
  <c r="J27" i="1"/>
  <c r="AF47" i="1" l="1"/>
  <c r="BV47" i="1"/>
  <c r="AM47" i="1"/>
  <c r="AD23" i="1"/>
  <c r="J23" i="1"/>
  <c r="BF22" i="1"/>
  <c r="J22" i="1"/>
  <c r="J21" i="1"/>
  <c r="BF20" i="1"/>
  <c r="CA20" i="1"/>
  <c r="AD20" i="1"/>
  <c r="J20" i="1"/>
  <c r="BF19" i="1"/>
  <c r="BM19" i="1"/>
  <c r="AK19" i="1"/>
  <c r="P19" i="1"/>
  <c r="AD19" i="1"/>
  <c r="W19" i="1"/>
  <c r="CA19" i="1"/>
  <c r="AR19" i="1"/>
  <c r="BT19" i="1"/>
  <c r="AY19" i="1"/>
  <c r="J19" i="1"/>
  <c r="BM18" i="1"/>
  <c r="AR18" i="1"/>
  <c r="BF18" i="1"/>
  <c r="AY18" i="1"/>
  <c r="AK18" i="1"/>
  <c r="BT18" i="1"/>
  <c r="AD18" i="1"/>
  <c r="CA18" i="1"/>
  <c r="J18" i="1"/>
  <c r="AR11" i="1" l="1"/>
  <c r="CC9" i="1"/>
  <c r="AK9" i="1"/>
  <c r="BH9" i="1"/>
  <c r="BO9" i="1"/>
  <c r="J9" i="1"/>
  <c r="AD8" i="1"/>
  <c r="AF8" i="1" s="1"/>
  <c r="CA8" i="1"/>
  <c r="BT8" i="1"/>
  <c r="AK8" i="1"/>
  <c r="AY8" i="1"/>
  <c r="BF8" i="1"/>
  <c r="AR8" i="1"/>
  <c r="BM8" i="1"/>
  <c r="BO8" i="1" s="1"/>
  <c r="W8" i="1"/>
  <c r="J8" i="1"/>
  <c r="AY7" i="1"/>
  <c r="BT7" i="1"/>
  <c r="AR7" i="1"/>
  <c r="CA7" i="1"/>
  <c r="CC7" i="1" s="1"/>
  <c r="W7" i="1"/>
  <c r="AF7" i="1"/>
  <c r="AK7" i="1"/>
  <c r="AM7" i="1" s="1"/>
  <c r="BT6" i="1"/>
  <c r="BV6" i="1" s="1"/>
  <c r="AT6" i="1"/>
  <c r="AD6" i="1"/>
  <c r="AF6" i="1" s="1"/>
  <c r="P6" i="1"/>
  <c r="AK6" i="1"/>
  <c r="J6" i="1"/>
  <c r="Y5" i="1"/>
  <c r="P5" i="1"/>
  <c r="CA5" i="1"/>
  <c r="BM5" i="1"/>
  <c r="AD5" i="1"/>
  <c r="BF5" i="1"/>
  <c r="AM5" i="1"/>
  <c r="AK5" i="1"/>
  <c r="J5" i="1"/>
  <c r="BO4" i="1"/>
  <c r="AF4" i="1"/>
  <c r="BH4" i="1"/>
  <c r="AK4" i="1"/>
  <c r="J4" i="1"/>
  <c r="W3" i="1"/>
  <c r="Y3" i="1" s="1"/>
  <c r="AR3" i="1"/>
  <c r="P3" i="1"/>
  <c r="R3" i="1" s="1"/>
  <c r="AY3" i="1"/>
  <c r="BA3" i="1" s="1"/>
  <c r="BM3" i="1"/>
  <c r="BT3" i="1"/>
  <c r="BF3" i="1"/>
  <c r="CA3" i="1"/>
  <c r="AK3" i="1"/>
  <c r="AM3" i="1" s="1"/>
  <c r="AD3" i="1"/>
  <c r="J3" i="1"/>
  <c r="L3" i="1" s="1"/>
  <c r="W2" i="1"/>
  <c r="AR2" i="1"/>
  <c r="AT2" i="1" s="1"/>
  <c r="P2" i="1"/>
  <c r="AY2" i="1"/>
  <c r="BM2" i="1"/>
  <c r="BT2" i="1"/>
  <c r="BF2" i="1"/>
  <c r="CA2" i="1"/>
  <c r="AK2" i="1"/>
  <c r="AM2" i="1" s="1"/>
  <c r="AD2" i="1"/>
  <c r="J2" i="1"/>
  <c r="AK17" i="1"/>
  <c r="BF17" i="1"/>
  <c r="BH17" i="1" s="1"/>
  <c r="AD17" i="1"/>
  <c r="BM17" i="1"/>
  <c r="BO17" i="1" s="1"/>
  <c r="CA17" i="1"/>
  <c r="P17" i="1"/>
  <c r="R17" i="1" s="1"/>
  <c r="BT17" i="1"/>
  <c r="J17" i="1"/>
  <c r="L17" i="1" s="1"/>
  <c r="BO16" i="1"/>
  <c r="AK16" i="1"/>
  <c r="AF16" i="1"/>
  <c r="BA16" i="1"/>
  <c r="CC15" i="1"/>
  <c r="BA15" i="1"/>
  <c r="W15" i="1"/>
  <c r="Y15" i="1" s="1"/>
  <c r="L15" i="1"/>
  <c r="R15" i="1"/>
  <c r="CF15" i="1"/>
  <c r="CG15" i="1"/>
  <c r="CA13" i="1"/>
  <c r="AD13" i="1"/>
  <c r="BT13" i="1"/>
  <c r="BV13" i="1" s="1"/>
  <c r="AK13" i="1"/>
  <c r="AM13" i="1" s="1"/>
  <c r="AY13" i="1"/>
  <c r="BA13" i="1" s="1"/>
  <c r="BF13" i="1"/>
  <c r="BH13" i="1" s="1"/>
  <c r="AR13" i="1"/>
  <c r="BM13" i="1"/>
  <c r="W13" i="1"/>
  <c r="P13" i="1"/>
  <c r="J13" i="1"/>
  <c r="BA1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4" i="1"/>
  <c r="CC13" i="1"/>
  <c r="CC12" i="1"/>
  <c r="CC11" i="1"/>
  <c r="CC10" i="1"/>
  <c r="CC8" i="1"/>
  <c r="CC6" i="1"/>
  <c r="CC5" i="1"/>
  <c r="CC4" i="1"/>
  <c r="CC3" i="1"/>
  <c r="CC2" i="1"/>
  <c r="BV41" i="1"/>
  <c r="BV40" i="1"/>
  <c r="BV39" i="1"/>
  <c r="BV38" i="1"/>
  <c r="BV37" i="1"/>
  <c r="BV36" i="1"/>
  <c r="BV35" i="1"/>
  <c r="BV34" i="1"/>
  <c r="BV33" i="1"/>
  <c r="BV32" i="1"/>
  <c r="BV31" i="1"/>
  <c r="BV30" i="1"/>
  <c r="BV29" i="1"/>
  <c r="BV28" i="1"/>
  <c r="BV27" i="1"/>
  <c r="BV26" i="1"/>
  <c r="BV25" i="1"/>
  <c r="BV24" i="1"/>
  <c r="BV23" i="1"/>
  <c r="BV22" i="1"/>
  <c r="BV21" i="1"/>
  <c r="BV20" i="1"/>
  <c r="BV19" i="1"/>
  <c r="BV18" i="1"/>
  <c r="BV17" i="1"/>
  <c r="BV16" i="1"/>
  <c r="BV15" i="1"/>
  <c r="BV14" i="1"/>
  <c r="BV12" i="1"/>
  <c r="BV11" i="1"/>
  <c r="BV10" i="1"/>
  <c r="BV9" i="1"/>
  <c r="BV8" i="1"/>
  <c r="BV7" i="1"/>
  <c r="BV5" i="1"/>
  <c r="BV4" i="1"/>
  <c r="BV3" i="1"/>
  <c r="BV2" i="1"/>
  <c r="BO41" i="1"/>
  <c r="BO40" i="1"/>
  <c r="BO39" i="1"/>
  <c r="BO38" i="1"/>
  <c r="BO37" i="1"/>
  <c r="BO36" i="1"/>
  <c r="BO35" i="1"/>
  <c r="BO34" i="1"/>
  <c r="BO33" i="1"/>
  <c r="BO32" i="1"/>
  <c r="BO31" i="1"/>
  <c r="BO30" i="1"/>
  <c r="BO29" i="1"/>
  <c r="BO28" i="1"/>
  <c r="BO27" i="1"/>
  <c r="BO26" i="1"/>
  <c r="BO25" i="1"/>
  <c r="BO24" i="1"/>
  <c r="BO23" i="1"/>
  <c r="BO22" i="1"/>
  <c r="BO21" i="1"/>
  <c r="BO20" i="1"/>
  <c r="BO19" i="1"/>
  <c r="BO18" i="1"/>
  <c r="BO15" i="1"/>
  <c r="BO14" i="1"/>
  <c r="BO13" i="1"/>
  <c r="BO12" i="1"/>
  <c r="BO11" i="1"/>
  <c r="BO10" i="1"/>
  <c r="BO7" i="1"/>
  <c r="BO6" i="1"/>
  <c r="BO5" i="1"/>
  <c r="BO3" i="1"/>
  <c r="BO2" i="1"/>
  <c r="BH41" i="1"/>
  <c r="BH40" i="1"/>
  <c r="BH39" i="1"/>
  <c r="BH38" i="1"/>
  <c r="BH37" i="1"/>
  <c r="BH36" i="1"/>
  <c r="BH35" i="1"/>
  <c r="BH34" i="1"/>
  <c r="BH33" i="1"/>
  <c r="BH32" i="1"/>
  <c r="BH31" i="1"/>
  <c r="BH30" i="1"/>
  <c r="BH29" i="1"/>
  <c r="BH28" i="1"/>
  <c r="BH27" i="1"/>
  <c r="BH26" i="1"/>
  <c r="BH25" i="1"/>
  <c r="BH24" i="1"/>
  <c r="BH23" i="1"/>
  <c r="BH22" i="1"/>
  <c r="BH21" i="1"/>
  <c r="BH20" i="1"/>
  <c r="BH19" i="1"/>
  <c r="BH18" i="1"/>
  <c r="BH16" i="1"/>
  <c r="BH15" i="1"/>
  <c r="BH14" i="1"/>
  <c r="BH12" i="1"/>
  <c r="BH11" i="1"/>
  <c r="BH10" i="1"/>
  <c r="BH8" i="1"/>
  <c r="BH7" i="1"/>
  <c r="BH6" i="1"/>
  <c r="BH5" i="1"/>
  <c r="BH3" i="1"/>
  <c r="BH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4" i="1"/>
  <c r="BA11" i="1"/>
  <c r="BA10" i="1"/>
  <c r="BA9" i="1"/>
  <c r="BA8" i="1"/>
  <c r="BA7" i="1"/>
  <c r="BA6" i="1"/>
  <c r="BA5" i="1"/>
  <c r="BA4" i="1"/>
  <c r="BA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5" i="1"/>
  <c r="AT4" i="1"/>
  <c r="AT3"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2" i="1"/>
  <c r="AM11" i="1"/>
  <c r="AM10" i="1"/>
  <c r="AM9" i="1"/>
  <c r="AM8" i="1"/>
  <c r="AM6" i="1"/>
  <c r="AM4"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5" i="1"/>
  <c r="AF14" i="1"/>
  <c r="AF13" i="1"/>
  <c r="AF12" i="1"/>
  <c r="AF11" i="1"/>
  <c r="AF10" i="1"/>
  <c r="AF9" i="1"/>
  <c r="AF5" i="1"/>
  <c r="AF3" i="1"/>
  <c r="AF2" i="1"/>
  <c r="Y41" i="1"/>
  <c r="Y40" i="1"/>
  <c r="Y39" i="1"/>
  <c r="Y38" i="1"/>
  <c r="Y37" i="1"/>
  <c r="Y36" i="1"/>
  <c r="Y35" i="1"/>
  <c r="Y34" i="1"/>
  <c r="Y33" i="1"/>
  <c r="Y32" i="1"/>
  <c r="Y31" i="1"/>
  <c r="Y30" i="1"/>
  <c r="Y29" i="1"/>
  <c r="Y28" i="1"/>
  <c r="Y27" i="1"/>
  <c r="Y26" i="1"/>
  <c r="Y25" i="1"/>
  <c r="Y24" i="1"/>
  <c r="Y23" i="1"/>
  <c r="Y22" i="1"/>
  <c r="Y21" i="1"/>
  <c r="Y20" i="1"/>
  <c r="Y19" i="1"/>
  <c r="Y18" i="1"/>
  <c r="Y17" i="1"/>
  <c r="Y16" i="1"/>
  <c r="Y14" i="1"/>
  <c r="Y13" i="1"/>
  <c r="Y12" i="1"/>
  <c r="Y11" i="1"/>
  <c r="Y10" i="1"/>
  <c r="Y9" i="1"/>
  <c r="Y8" i="1"/>
  <c r="Y7" i="1"/>
  <c r="Y6" i="1"/>
  <c r="Y4" i="1"/>
  <c r="Y2" i="1"/>
  <c r="R41" i="1"/>
  <c r="R40" i="1"/>
  <c r="R39" i="1"/>
  <c r="R38" i="1"/>
  <c r="R37" i="1"/>
  <c r="R36" i="1"/>
  <c r="R35" i="1"/>
  <c r="R34" i="1"/>
  <c r="R33" i="1"/>
  <c r="R32" i="1"/>
  <c r="R31" i="1"/>
  <c r="R30" i="1"/>
  <c r="R29" i="1"/>
  <c r="R28" i="1"/>
  <c r="R27" i="1"/>
  <c r="R26" i="1"/>
  <c r="R25" i="1"/>
  <c r="R24" i="1"/>
  <c r="R23" i="1"/>
  <c r="R22" i="1"/>
  <c r="R21" i="1"/>
  <c r="R20" i="1"/>
  <c r="R19" i="1"/>
  <c r="R18" i="1"/>
  <c r="R16" i="1"/>
  <c r="R14" i="1"/>
  <c r="R13" i="1"/>
  <c r="R12" i="1"/>
  <c r="R11" i="1"/>
  <c r="R10" i="1"/>
  <c r="R9" i="1"/>
  <c r="R8" i="1"/>
  <c r="R7" i="1"/>
  <c r="R6" i="1"/>
  <c r="R5" i="1"/>
  <c r="R4" i="1"/>
  <c r="R2" i="1"/>
  <c r="L4" i="1"/>
  <c r="L5" i="1"/>
  <c r="L6" i="1"/>
  <c r="L7" i="1"/>
  <c r="L8" i="1"/>
  <c r="L9" i="1"/>
  <c r="L10" i="1"/>
  <c r="L11" i="1"/>
  <c r="L12" i="1"/>
  <c r="L13" i="1"/>
  <c r="L14" i="1"/>
  <c r="L16" i="1"/>
  <c r="L18" i="1"/>
  <c r="L19" i="1"/>
  <c r="L20" i="1"/>
  <c r="L21" i="1"/>
  <c r="L22" i="1"/>
  <c r="L23" i="1"/>
  <c r="L24" i="1"/>
  <c r="L25" i="1"/>
  <c r="L26" i="1"/>
  <c r="L27" i="1"/>
  <c r="L28" i="1"/>
  <c r="L29" i="1"/>
  <c r="L30" i="1"/>
  <c r="L31" i="1"/>
  <c r="L32" i="1"/>
  <c r="L33" i="1"/>
  <c r="L34" i="1"/>
  <c r="L35" i="1"/>
  <c r="L36" i="1"/>
  <c r="L37" i="1"/>
  <c r="L38" i="1"/>
  <c r="L39" i="1"/>
  <c r="L40" i="1"/>
  <c r="L41" i="1"/>
  <c r="L2" i="1"/>
  <c r="BA48" i="1" l="1"/>
  <c r="BA47" i="1"/>
  <c r="L48" i="1"/>
  <c r="L47" i="1"/>
  <c r="CF10" i="1"/>
  <c r="CF11" i="1"/>
  <c r="CF12" i="1"/>
  <c r="CF13" i="1"/>
  <c r="CF14"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3" i="1"/>
  <c r="CF4" i="1"/>
  <c r="CF5" i="1"/>
  <c r="CF6" i="1"/>
  <c r="CF7" i="1"/>
  <c r="CF8" i="1"/>
  <c r="CF9" i="1"/>
  <c r="CF2" i="1"/>
  <c r="CG5" i="1"/>
  <c r="CG6" i="1"/>
  <c r="CG7" i="1"/>
  <c r="CG8" i="1"/>
  <c r="CG9" i="1"/>
  <c r="CG10" i="1"/>
  <c r="CG11" i="1"/>
  <c r="CG12" i="1"/>
  <c r="CG13" i="1"/>
  <c r="CG14" i="1"/>
  <c r="CG16" i="1"/>
  <c r="CG17" i="1"/>
  <c r="CG18" i="1"/>
  <c r="CG19" i="1"/>
  <c r="CG20" i="1"/>
  <c r="CG21" i="1"/>
  <c r="CG22" i="1"/>
  <c r="CG23" i="1"/>
  <c r="CG24" i="1"/>
  <c r="CG25" i="1"/>
  <c r="CG26" i="1"/>
  <c r="CG27" i="1"/>
  <c r="CG28" i="1"/>
  <c r="CG29" i="1"/>
  <c r="CG30" i="1"/>
  <c r="CG31" i="1"/>
  <c r="CG32" i="1"/>
  <c r="CG33" i="1"/>
  <c r="CG34" i="1"/>
  <c r="CG35" i="1"/>
  <c r="CG36" i="1"/>
  <c r="CG37" i="1"/>
  <c r="CG38" i="1"/>
  <c r="CG39" i="1"/>
  <c r="CG40" i="1"/>
  <c r="CG41" i="1"/>
  <c r="CG4" i="1"/>
  <c r="CG3" i="1"/>
  <c r="CG2" i="1"/>
  <c r="CF48" i="1" l="1"/>
  <c r="CF47" i="1"/>
</calcChain>
</file>

<file path=xl/sharedStrings.xml><?xml version="1.0" encoding="utf-8"?>
<sst xmlns="http://schemas.openxmlformats.org/spreadsheetml/2006/main" count="1504" uniqueCount="339">
  <si>
    <t>Participant</t>
  </si>
  <si>
    <t>Numeracy</t>
  </si>
  <si>
    <t>OV-C</t>
  </si>
  <si>
    <t>OV-R</t>
  </si>
  <si>
    <t>AV-C</t>
  </si>
  <si>
    <t>AV-R</t>
  </si>
  <si>
    <t>Tree-C</t>
  </si>
  <si>
    <t>Tree-R</t>
  </si>
  <si>
    <t>Text_C</t>
  </si>
  <si>
    <t>Text-R</t>
  </si>
  <si>
    <t>IA-C</t>
  </si>
  <si>
    <t>IA-R</t>
  </si>
  <si>
    <t xml:space="preserve">Gender </t>
  </si>
  <si>
    <t>Age</t>
  </si>
  <si>
    <t>Background</t>
  </si>
  <si>
    <t>CS</t>
  </si>
  <si>
    <t>M</t>
  </si>
  <si>
    <t>G-Literacy</t>
  </si>
  <si>
    <t>OV-Cscore</t>
  </si>
  <si>
    <t>OV-Cconfindence</t>
  </si>
  <si>
    <t>OV-Rscore</t>
  </si>
  <si>
    <t>OV-Rconfidence</t>
  </si>
  <si>
    <t>ExampleConfindence</t>
  </si>
  <si>
    <t>ExampleScore</t>
  </si>
  <si>
    <t>AV-Cscore</t>
  </si>
  <si>
    <t>AV-Cconfidence</t>
  </si>
  <si>
    <t>AV-Rscore</t>
  </si>
  <si>
    <t>AV-Rconfidence</t>
  </si>
  <si>
    <t>Tree-Cscore</t>
  </si>
  <si>
    <t>Tree-Cconfindence</t>
  </si>
  <si>
    <t>Tree-Rscore</t>
  </si>
  <si>
    <t>Tree-Rconfidnece</t>
  </si>
  <si>
    <t>IA-Cscore</t>
  </si>
  <si>
    <t>IA-Cconfidence</t>
  </si>
  <si>
    <t>IA-Rscore</t>
  </si>
  <si>
    <t>IA-Rconfidence</t>
  </si>
  <si>
    <t>Text_Cscore</t>
  </si>
  <si>
    <t>Text_Cconfidence</t>
  </si>
  <si>
    <t>Text-Rscore</t>
  </si>
  <si>
    <t>Text-Rconfidence</t>
  </si>
  <si>
    <t>EasynessTxt</t>
  </si>
  <si>
    <t>EasynessIA</t>
  </si>
  <si>
    <t>EasynessTree</t>
  </si>
  <si>
    <t>EasynessAV</t>
  </si>
  <si>
    <t>EasynessOV</t>
  </si>
  <si>
    <t>Preference2</t>
  </si>
  <si>
    <t>Preference1</t>
  </si>
  <si>
    <t>Dislike1</t>
  </si>
  <si>
    <t>Dislike2</t>
  </si>
  <si>
    <t>OV</t>
  </si>
  <si>
    <t>Tree</t>
  </si>
  <si>
    <t>Txt</t>
  </si>
  <si>
    <t>IA</t>
  </si>
  <si>
    <t>Comments:</t>
  </si>
  <si>
    <t xml:space="preserve">Trees are very direct and complete. In tree and OV the information is already organised for me. Text required reading, slow down, unnecessary information. I need to take notes to use the data. The arrays are difficult to interpret, need to count, I dont' look at the graph but only at the legend.  </t>
  </si>
  <si>
    <t>TotalScore</t>
  </si>
  <si>
    <t>TotalCorrect</t>
  </si>
  <si>
    <t>Sequence</t>
  </si>
  <si>
    <t>AV-C, AV-R, TXT-R, IA-C, TXT-C, IA-R, Tree-R, OV-C, Tree-C, OV-R</t>
  </si>
  <si>
    <t>TXT</t>
  </si>
  <si>
    <t>AV</t>
  </si>
  <si>
    <t>AV-R, IA-C, AV-C, IA-R, TXT-R, OV-C, TXT-C, OV-R, Tree-R, Tree-C</t>
  </si>
  <si>
    <t>Maths</t>
  </si>
  <si>
    <t>IA-C, IA-R, AV-R, OV-C, AV-C, OV-R, TXT-R, Tree-C, TXT-C, Tree-R</t>
  </si>
  <si>
    <t xml:space="preserve">Tree easy to spot different cathegories. OV well organised. IA, confusing. Text more words than needed, slower, need extraction. </t>
  </si>
  <si>
    <t>IT</t>
  </si>
  <si>
    <t xml:space="preserve">With tree you get the sufficent imput, not too much, better focused. OV need a biut of calculation. IA is too condensed. Text no immediate. </t>
  </si>
  <si>
    <t>Example(Txt-R)</t>
  </si>
  <si>
    <t>OV-C, OV-R, IA-R, Tree-C, IA-C, Tree-R, AV-R, TXT-C, AV-C, TXT-R</t>
  </si>
  <si>
    <t>Venn is familiar. Tree the mapping is easy. Text more computational power needed. IA does not add any visual information useful to answer the question, no easy to extract.</t>
  </si>
  <si>
    <t>C-engin</t>
  </si>
  <si>
    <t>IA-R, OV-C, IA-C, OV-R, AV-R, Tree-C, AV-C, Tree-R, TXT-R, TXT-C</t>
  </si>
  <si>
    <t>In the tree info is ready available. In the OV it was clear but I had to use the legend. In the text I need to think more. The AV is confusing, no need to see areas.</t>
  </si>
  <si>
    <t>AI</t>
  </si>
  <si>
    <t xml:space="preserve">Tree facilitate backward induction. The AV addedd the scaled size a little bit of help. In the text too much info, the language is very precize, cannot be reinterpreted by the individual. The IA didn't give any extra info, no counting. </t>
  </si>
  <si>
    <t>F</t>
  </si>
  <si>
    <t>ExampleEstimate</t>
  </si>
  <si>
    <t>ExampleTrueValue</t>
  </si>
  <si>
    <t>ExampleBias</t>
  </si>
  <si>
    <t>OV-Cestimate</t>
  </si>
  <si>
    <t>OV-CtrueValue</t>
  </si>
  <si>
    <t>OV-Cbias</t>
  </si>
  <si>
    <t>OV-Restimate</t>
  </si>
  <si>
    <t>OV-Rbias</t>
  </si>
  <si>
    <t>OV-RtrueValue</t>
  </si>
  <si>
    <t>AV-Restimate</t>
  </si>
  <si>
    <t>AV-RtrueValue</t>
  </si>
  <si>
    <t>AV-Rbias</t>
  </si>
  <si>
    <t>AV-Cestimate</t>
  </si>
  <si>
    <t>AV-CtrueValue</t>
  </si>
  <si>
    <t>AV-Cbias</t>
  </si>
  <si>
    <t>Tree-Cestimate</t>
  </si>
  <si>
    <t>Tree-CtrueValue</t>
  </si>
  <si>
    <t>Tree-Cbias</t>
  </si>
  <si>
    <t>Tree-Restimate</t>
  </si>
  <si>
    <t>Tree-RtrueValue</t>
  </si>
  <si>
    <t>Tree-Rbias</t>
  </si>
  <si>
    <t>IA-Cestimate</t>
  </si>
  <si>
    <t>IA-CtrueValue</t>
  </si>
  <si>
    <t>IA-Cbias</t>
  </si>
  <si>
    <t>IA-Restimate</t>
  </si>
  <si>
    <t>IA-RtrueValue</t>
  </si>
  <si>
    <t>IA-Rbias</t>
  </si>
  <si>
    <t>Text-Cestimate</t>
  </si>
  <si>
    <t>Text-CtrueValue</t>
  </si>
  <si>
    <t>Text-Cbias</t>
  </si>
  <si>
    <t>Text-Restimate</t>
  </si>
  <si>
    <t>Text-RtrueValue</t>
  </si>
  <si>
    <t>Text-Rbias</t>
  </si>
  <si>
    <t>Path</t>
  </si>
  <si>
    <t>Tree-C, Tree-R, OV-R, TXT-C, OV-C, TXT-R, IA-R, AV-C, IA-C, AV-R</t>
  </si>
  <si>
    <t>In the IA everything is presented on the same layer, more linear, not overloaded. The AV has a bit of too much overlapping. The text has a langiage problem for non native speakers. The tree need active search.</t>
  </si>
  <si>
    <t>Planning</t>
  </si>
  <si>
    <t>Tree-R, TXT-C, Tree-C, TXT-R, OV-R, Av-C, OV-C, AV-R, IA-R, IA-C</t>
  </si>
  <si>
    <t xml:space="preserve">The text takes more time, slow down. </t>
  </si>
  <si>
    <t>OV-R, Tree-C, OV-C, Tree-R, IA-R, TXT-C, IA-C, TXT-R, AV-R, AC-C</t>
  </si>
  <si>
    <t>The tree is easy to follow. In the text you need more memory to remember. In the OV I had to follow the number, no hint.</t>
  </si>
  <si>
    <t>Trees are faster to extract numbers. On the Venn (both) takes longer to extract info when you have to give precise answers.</t>
  </si>
  <si>
    <t>The scaling of the AV helped but the labelling with the number where more helpful. The tree allows for better search. The text was too hard to process, requires multiple time reading. The IA were not good if there were low differences between number, honly helpful for big differences.</t>
  </si>
  <si>
    <t>Mean</t>
  </si>
  <si>
    <t>SD</t>
  </si>
  <si>
    <t>The venn have the legend which is not good</t>
  </si>
  <si>
    <t>TXT-R, AV-C, TXT-C, AV-R, Tree-R, IA-C, Tree-C, IA-R, OV-R, OV-C</t>
  </si>
  <si>
    <t>Education</t>
  </si>
  <si>
    <t>Tree allows quick access to the info. Text take too much time.</t>
  </si>
  <si>
    <t>Psychology</t>
  </si>
  <si>
    <t>The text I need to vsualize it in my head.</t>
  </si>
  <si>
    <t>TXT-C, TXT-R, Tree-R, AV-C, Tree-C, AV-R, OV-R, IA-C, OV-C, IA-R</t>
  </si>
  <si>
    <t>Business</t>
  </si>
  <si>
    <t>The tree and the OV are clear. The IA is confusing.</t>
  </si>
  <si>
    <t>Languages</t>
  </si>
  <si>
    <t>Humanities</t>
  </si>
  <si>
    <t>The text gives a bombardment of information.</t>
  </si>
  <si>
    <t>Life Science</t>
  </si>
  <si>
    <t xml:space="preserve">IA count make it slower and confusing </t>
  </si>
  <si>
    <t>Text mixes numbers and words, difficult to extract right info.</t>
  </si>
  <si>
    <t>Venn appear to be logical</t>
  </si>
  <si>
    <t>Tree automatically reeuced the options. Venn very clear. IA data is separated from the diagram, extra effort required to connect.</t>
  </si>
  <si>
    <t>Engineering</t>
  </si>
  <si>
    <t>Venn is confusing no tused to it</t>
  </si>
  <si>
    <t>Venn is difficult to differentiate between whole and parts</t>
  </si>
  <si>
    <t>Social Science</t>
  </si>
  <si>
    <t xml:space="preserve">Tree is easy to derive the data. AV is easy to see the whole in relation to parts. </t>
  </si>
  <si>
    <t>Txt require to use logic.</t>
  </si>
  <si>
    <t>Medicine</t>
  </si>
  <si>
    <t xml:space="preserve">Tree enable identification of subcathegories </t>
  </si>
  <si>
    <t>OV-Corder</t>
  </si>
  <si>
    <t>OV-Rorder</t>
  </si>
  <si>
    <t>AV-Corder</t>
  </si>
  <si>
    <t>AV-Rorder</t>
  </si>
  <si>
    <t>Tree-Corder</t>
  </si>
  <si>
    <t>Tree-Rorder</t>
  </si>
  <si>
    <t>IA-Corder</t>
  </si>
  <si>
    <t>IA-Rorder</t>
  </si>
  <si>
    <t>Text_Corder</t>
  </si>
  <si>
    <t>Text-Rorder</t>
  </si>
  <si>
    <t>PrTXT</t>
  </si>
  <si>
    <t>PrIA</t>
  </si>
  <si>
    <t>PrTree</t>
  </si>
  <si>
    <t>PrAV</t>
  </si>
  <si>
    <t>PrOV</t>
  </si>
  <si>
    <t>TXT-R, OV-R, Tree-C, OV-C, Tree-R, IA-R, TXT-C, IA-C, AV-R, AV-C</t>
  </si>
  <si>
    <t>AV-C, Tree-C, OV-C, Tree-R, IA-R, TXT-C, IA-C, TXT-R, AV-R, OV-R</t>
  </si>
  <si>
    <t>OV-R, Tree-C, OV-C, Tree-R, IA-R, TXT-C, IA-C, TXT-R, AV-R, AV-C</t>
  </si>
  <si>
    <t>G.Literacy</t>
  </si>
  <si>
    <t>OV.C</t>
  </si>
  <si>
    <t>OV.Cscore</t>
  </si>
  <si>
    <t>OV.Cbias</t>
  </si>
  <si>
    <t>OV.Cconfi</t>
  </si>
  <si>
    <t>OV.Corder</t>
  </si>
  <si>
    <t>OV.R</t>
  </si>
  <si>
    <t>OV.Rscore</t>
  </si>
  <si>
    <t>OV.Rbias</t>
  </si>
  <si>
    <t>OV.Rconfi</t>
  </si>
  <si>
    <t>OV.Rorder</t>
  </si>
  <si>
    <t>AV.C</t>
  </si>
  <si>
    <t>AV.Cscore</t>
  </si>
  <si>
    <t>AV.Cbias</t>
  </si>
  <si>
    <t>AV.Cconfi</t>
  </si>
  <si>
    <t>AV.Corder</t>
  </si>
  <si>
    <t>AV.R</t>
  </si>
  <si>
    <t>AV.Rscore</t>
  </si>
  <si>
    <t>AV.Rbias</t>
  </si>
  <si>
    <t>AV.Rconfi</t>
  </si>
  <si>
    <t>AV.Rorder</t>
  </si>
  <si>
    <t>Tree.C</t>
  </si>
  <si>
    <t>Tree.Cscore</t>
  </si>
  <si>
    <t>Tree.Cbias</t>
  </si>
  <si>
    <t>Tree.Cconfi</t>
  </si>
  <si>
    <t>Tree.Corder</t>
  </si>
  <si>
    <t>Tree.R</t>
  </si>
  <si>
    <t>Tree.Rscore</t>
  </si>
  <si>
    <t>Tree.Rbias</t>
  </si>
  <si>
    <t>Tree.Rconfi</t>
  </si>
  <si>
    <t>Tree.Rorder</t>
  </si>
  <si>
    <t>IA.C</t>
  </si>
  <si>
    <t>IA.Cscore</t>
  </si>
  <si>
    <t>IA.Cbias</t>
  </si>
  <si>
    <t>IA.Cconfi</t>
  </si>
  <si>
    <t>IA.Corder</t>
  </si>
  <si>
    <t>IA.R</t>
  </si>
  <si>
    <t>IA.Rscore</t>
  </si>
  <si>
    <t>IA.Rbias</t>
  </si>
  <si>
    <t>IA.Rconfi</t>
  </si>
  <si>
    <t>IA.Rorder</t>
  </si>
  <si>
    <t>Text.C</t>
  </si>
  <si>
    <t>Text.Cscore</t>
  </si>
  <si>
    <t>Text.Cbias</t>
  </si>
  <si>
    <t>Text.Cconfi</t>
  </si>
  <si>
    <t>Text.R</t>
  </si>
  <si>
    <t>Text.Rscore</t>
  </si>
  <si>
    <t>Text.Rbias</t>
  </si>
  <si>
    <t>Text.Rconfi</t>
  </si>
  <si>
    <t>Text.Rorder</t>
  </si>
  <si>
    <t>EasyTxt</t>
  </si>
  <si>
    <t>EasyAI</t>
  </si>
  <si>
    <t>EasyTree</t>
  </si>
  <si>
    <t>EasyAV</t>
  </si>
  <si>
    <t>EasyOV</t>
  </si>
  <si>
    <t>Descriptive</t>
  </si>
  <si>
    <t>TotalBias</t>
  </si>
  <si>
    <t>BR</t>
  </si>
  <si>
    <t>Format</t>
  </si>
  <si>
    <t>Accuracy</t>
  </si>
  <si>
    <t>Score</t>
  </si>
  <si>
    <t>Bias</t>
  </si>
  <si>
    <t>Order</t>
  </si>
  <si>
    <t>Text</t>
  </si>
  <si>
    <t>Easy</t>
  </si>
  <si>
    <t>Pref</t>
  </si>
  <si>
    <t>Confi</t>
  </si>
  <si>
    <t>Error Descriptive Stats</t>
  </si>
  <si>
    <t>Rare</t>
  </si>
  <si>
    <t>Common</t>
  </si>
  <si>
    <t>OV-score</t>
  </si>
  <si>
    <t>AV-score</t>
  </si>
  <si>
    <t>Tree-score</t>
  </si>
  <si>
    <t>IA-score</t>
  </si>
  <si>
    <t>Txt-score</t>
  </si>
  <si>
    <t>OV-bias</t>
  </si>
  <si>
    <t>AV-bias</t>
  </si>
  <si>
    <t>Tree-bias</t>
  </si>
  <si>
    <t>IA-bias</t>
  </si>
  <si>
    <t>Rare-score</t>
  </si>
  <si>
    <t>Common-score</t>
  </si>
  <si>
    <t>TxT</t>
  </si>
  <si>
    <t>TxT-score</t>
  </si>
  <si>
    <t>Common-Score</t>
  </si>
  <si>
    <t>TxT-bias</t>
  </si>
  <si>
    <t>OV-conf</t>
  </si>
  <si>
    <t>AV-conf</t>
  </si>
  <si>
    <t>Tree-conf</t>
  </si>
  <si>
    <t>IA-conf</t>
  </si>
  <si>
    <t>TxT-conf</t>
  </si>
  <si>
    <t>FormatAV   FormatIA   FormatOV FormatTree</t>
  </si>
  <si>
    <t>6.925180   3.296810  16.224560 760.240985</t>
  </si>
  <si>
    <r>
      <rPr>
        <b/>
        <sz val="11"/>
        <color theme="1"/>
        <rFont val="Calibri"/>
        <family val="2"/>
        <scheme val="minor"/>
      </rPr>
      <t>Tab. 4</t>
    </r>
    <r>
      <rPr>
        <sz val="11"/>
        <color theme="1"/>
        <rFont val="Calibri"/>
        <family val="2"/>
        <scheme val="minor"/>
      </rPr>
      <t xml:space="preserve"> - Odd-ratios for preference</t>
    </r>
  </si>
  <si>
    <t>Count</t>
  </si>
  <si>
    <t>Sd.</t>
  </si>
  <si>
    <t>Mean &amp; Sd. For Error</t>
  </si>
  <si>
    <t>Correct</t>
  </si>
  <si>
    <t>N</t>
  </si>
  <si>
    <t>Descriptive Stats For Time</t>
  </si>
  <si>
    <t>Incorrect</t>
  </si>
  <si>
    <t>Total</t>
  </si>
  <si>
    <t>OV-IA</t>
  </si>
  <si>
    <t>SV-IA</t>
  </si>
  <si>
    <t>Tree-IA</t>
  </si>
  <si>
    <t>Txt-IA</t>
  </si>
  <si>
    <t>SV-OV</t>
  </si>
  <si>
    <t>Tree-OV</t>
  </si>
  <si>
    <t>Txt-OV</t>
  </si>
  <si>
    <t>Tree-SV</t>
  </si>
  <si>
    <t>Txt-SV</t>
  </si>
  <si>
    <t>Txt-Tree</t>
  </si>
  <si>
    <t>Diff</t>
  </si>
  <si>
    <t>Lwr</t>
  </si>
  <si>
    <t>Upr</t>
  </si>
  <si>
    <t>p-adj</t>
  </si>
  <si>
    <t>&lt;0.001</t>
  </si>
  <si>
    <t xml:space="preserve">Pairwise Comparison on Time </t>
  </si>
  <si>
    <t>Linear Hypotheses:</t>
  </si>
  <si>
    <t>Txt - AV == 0</t>
  </si>
  <si>
    <t>Txt - IA == 0</t>
  </si>
  <si>
    <t>Txt - OV == 0</t>
  </si>
  <si>
    <t>Txt - Tree == 0</t>
  </si>
  <si>
    <t>AV - IA == 0</t>
  </si>
  <si>
    <t>AV - OV == 0</t>
  </si>
  <si>
    <t xml:space="preserve">AV - Tree == 0   </t>
  </si>
  <si>
    <t>IA - OV == 0</t>
  </si>
  <si>
    <t>IA - Tree == 0</t>
  </si>
  <si>
    <t xml:space="preserve">OV - Tree == 0 </t>
  </si>
  <si>
    <t>Comparisons</t>
  </si>
  <si>
    <t>Estimate</t>
  </si>
  <si>
    <t>Std. Error</t>
  </si>
  <si>
    <t xml:space="preserve">Pr(&gt;|t|) </t>
  </si>
  <si>
    <t xml:space="preserve">0.00360 ** </t>
  </si>
  <si>
    <t>&lt; 0.001 ***</t>
  </si>
  <si>
    <t xml:space="preserve">0.07802 .  </t>
  </si>
  <si>
    <t xml:space="preserve">0.00545 ** </t>
  </si>
  <si>
    <t>t-value</t>
  </si>
  <si>
    <t>SV</t>
  </si>
  <si>
    <t>Confidence</t>
  </si>
  <si>
    <t>NA</t>
  </si>
  <si>
    <t>Ease-of-use Stats</t>
  </si>
  <si>
    <t>Sum</t>
  </si>
  <si>
    <t>Easy-of-use</t>
  </si>
  <si>
    <t xml:space="preserve">Score On </t>
  </si>
  <si>
    <t>Preference</t>
  </si>
  <si>
    <t xml:space="preserve">Weighted Sum </t>
  </si>
  <si>
    <t xml:space="preserve"> t value </t>
  </si>
  <si>
    <t xml:space="preserve">Pr(&gt;|t|)    </t>
  </si>
  <si>
    <t>IA - Txt == 0</t>
  </si>
  <si>
    <t>OV - SV == 0</t>
  </si>
  <si>
    <t>OV - Tree == 0</t>
  </si>
  <si>
    <t>OV - Txt == 0</t>
  </si>
  <si>
    <t>SV - Tree == 0</t>
  </si>
  <si>
    <t>SV - Txt == 0</t>
  </si>
  <si>
    <t>Tree - Txt == 0</t>
  </si>
  <si>
    <t>IA - SV == 0</t>
  </si>
  <si>
    <t>Comparisons:</t>
  </si>
  <si>
    <t xml:space="preserve">Text difficult </t>
  </si>
  <si>
    <t>In the tree, I do not have to read a lot, I can zoom where I need to. The text I need to go back several times and read it again and again. Forget. Memory issues.</t>
  </si>
  <si>
    <t>Text difficult, needed to go back several times to re-read previous information that was forgotten</t>
  </si>
  <si>
    <t>Text no so bad</t>
  </si>
  <si>
    <t>Text difficult, with graphs one can use his/her own words to re-interpret the problem</t>
  </si>
  <si>
    <t xml:space="preserve">Text no so bad </t>
  </si>
  <si>
    <t>text better</t>
  </si>
  <si>
    <t>OV clear relationships. in trees and Venn diagrams the information is already organized; whereas textual formats required reading</t>
  </si>
  <si>
    <t>The text is boring. visualize the information in my head before processing</t>
  </si>
  <si>
    <t>Text difficult. Difficult to filter out</t>
  </si>
  <si>
    <t>Text difficult. Venn information more focused and organized</t>
  </si>
  <si>
    <t>PrSV</t>
  </si>
  <si>
    <t>In the tree it is clear to see classes, and get the relecant info. In the AV it is clear to look at the dependences. The text is not authomatically clear where the info is. The IA has dots which are confusing. Forget reference class when counting.</t>
  </si>
  <si>
    <t>Tree has all the data well organised, easy to spot the relations, no need to count. AV little info but focused. In the IA info is not explicit, you need to count which is not and advantage. Counting unnecessary and distracting. While you count your forget the class. Counting distract. In the text, too much info not essantial, difficult to distinguish essential info from unnecessary info. Info in text add burden  . No distinction in subgroups with IA</t>
  </si>
  <si>
    <t xml:space="preserve">With tree it is easy to generate fractions, and infer percentages. Reduce options with direction. The text has all the information written in it and explanations. With AV cannot calculate area, only look at numbers. With Ovit doesn't add any new info compared to a fraction. </t>
  </si>
  <si>
    <t>Tree split the task in two, and need to deal with 1 thing at a time. Forward and backward resoning. Venn need to understand two things at the same time. IA no distiction between the sub-groups</t>
  </si>
  <si>
    <t xml:space="preserve">Tree easy to read, immediate information. AV may be good for a quick perception but not for in-depth analysis. You need trees for that. No look at areas just number. The text use a difficult lagugage and I can use my own lexicon to interpret the problem. The IA is too complex, I do not count. </t>
  </si>
  <si>
    <t xml:space="preserve">The tree has strightfprward direction, step by step. The IA is overly complicated and is difficutl to use the legend. Tree superior because of no legend.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</si>
</sst>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Lucida Console"/>
      <family val="3"/>
    </font>
    <font>
      <b/>
      <sz val="10"/>
      <color rgb="FF000000"/>
      <name val="Lucida Console"/>
      <family val="3"/>
    </font>
    <font>
      <sz val="8"/>
      <color rgb="FF000000"/>
      <name val="Lucida Sans"/>
      <family val="2"/>
    </font>
    <font>
      <b/>
      <sz val="8"/>
      <color rgb="FF555555"/>
      <name val="Lucida Sans"/>
      <family val="2"/>
    </font>
    <font>
      <b/>
      <sz val="8"/>
      <color rgb="FF000000"/>
      <name val="Lucida Sans"/>
      <family val="2"/>
    </font>
  </fonts>
  <fills count="18">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rgb="FFF7F8F9"/>
        <bgColor indexed="64"/>
      </patternFill>
    </fill>
    <fill>
      <patternFill patternType="solid">
        <fgColor rgb="FFFDFDFD"/>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4.9989318521683403E-2"/>
        <bgColor indexed="64"/>
      </patternFill>
    </fill>
  </fills>
  <borders count="21">
    <border>
      <left/>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medium">
        <color rgb="FFCFD4D8"/>
      </right>
      <top/>
      <bottom style="medium">
        <color rgb="FFCFD4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CFD4D8"/>
      </bottom>
      <diagonal/>
    </border>
  </borders>
  <cellStyleXfs count="1">
    <xf numFmtId="0" fontId="0" fillId="0" borderId="0"/>
  </cellStyleXfs>
  <cellXfs count="162">
    <xf numFmtId="0" fontId="0" fillId="0" borderId="0" xfId="0"/>
    <xf numFmtId="0" fontId="0" fillId="2" borderId="0" xfId="0" applyFill="1"/>
    <xf numFmtId="0" fontId="0" fillId="3" borderId="0" xfId="0" applyFill="1"/>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xf numFmtId="0" fontId="0" fillId="4" borderId="0" xfId="0" applyFill="1" applyAlignment="1">
      <alignment horizontal="center"/>
    </xf>
    <xf numFmtId="0" fontId="0" fillId="0" borderId="0" xfId="0" applyFill="1" applyAlignment="1">
      <alignment horizontal="center"/>
    </xf>
    <xf numFmtId="0" fontId="0" fillId="5" borderId="0" xfId="0" applyFill="1"/>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0" fillId="0" borderId="0" xfId="0" applyAlignment="1">
      <alignment horizontal="left"/>
    </xf>
    <xf numFmtId="0" fontId="0" fillId="0" borderId="0" xfId="0" applyFill="1" applyAlignment="1">
      <alignment horizontal="left"/>
    </xf>
    <xf numFmtId="0" fontId="0" fillId="0" borderId="0" xfId="0" applyFill="1"/>
    <xf numFmtId="0" fontId="0" fillId="4" borderId="0" xfId="0" applyFill="1" applyAlignment="1">
      <alignment horizontal="right"/>
    </xf>
    <xf numFmtId="0" fontId="0" fillId="0" borderId="0" xfId="0" applyAlignment="1">
      <alignment horizontal="right"/>
    </xf>
    <xf numFmtId="0" fontId="0" fillId="7" borderId="0" xfId="0" applyFill="1" applyAlignment="1">
      <alignment horizontal="center"/>
    </xf>
    <xf numFmtId="0" fontId="0" fillId="0" borderId="1" xfId="0" applyBorder="1" applyAlignment="1">
      <alignment horizontal="right"/>
    </xf>
    <xf numFmtId="0" fontId="0" fillId="7" borderId="1" xfId="0" applyFill="1" applyBorder="1" applyAlignment="1">
      <alignment horizontal="center"/>
    </xf>
    <xf numFmtId="0" fontId="0" fillId="2" borderId="1" xfId="0" applyFill="1" applyBorder="1" applyAlignment="1">
      <alignment horizontal="center"/>
    </xf>
    <xf numFmtId="0" fontId="0" fillId="4" borderId="0" xfId="0" applyFill="1" applyAlignment="1">
      <alignment horizontal="left"/>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0" borderId="0" xfId="0" applyFont="1" applyAlignment="1">
      <alignment vertical="center"/>
    </xf>
    <xf numFmtId="0" fontId="2" fillId="0" borderId="6" xfId="0" applyFont="1" applyBorder="1" applyAlignment="1">
      <alignment vertical="center"/>
    </xf>
    <xf numFmtId="0" fontId="0" fillId="0" borderId="6" xfId="0" applyBorder="1"/>
    <xf numFmtId="0" fontId="0" fillId="8" borderId="0" xfId="0" applyFill="1" applyAlignment="1">
      <alignment horizontal="center"/>
    </xf>
    <xf numFmtId="0" fontId="0" fillId="9" borderId="0" xfId="0" applyFill="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9" xfId="0" applyBorder="1" applyAlignment="1">
      <alignment vertical="center"/>
    </xf>
    <xf numFmtId="0" fontId="0" fillId="0" borderId="10" xfId="0" applyBorder="1" applyAlignment="1">
      <alignment horizontal="center" vertical="center"/>
    </xf>
    <xf numFmtId="0" fontId="0" fillId="0" borderId="9" xfId="0" applyBorder="1" applyAlignment="1">
      <alignment horizontal="right" vertical="center"/>
    </xf>
    <xf numFmtId="0" fontId="0" fillId="0" borderId="4" xfId="0" applyBorder="1" applyAlignment="1">
      <alignment horizontal="right" vertical="center"/>
    </xf>
    <xf numFmtId="0" fontId="0" fillId="0" borderId="4" xfId="0" applyBorder="1" applyAlignment="1">
      <alignment horizontal="center" vertical="center"/>
    </xf>
    <xf numFmtId="0" fontId="0" fillId="0" borderId="5" xfId="0" applyBorder="1" applyAlignment="1">
      <alignment horizontal="center" vertical="center"/>
    </xf>
    <xf numFmtId="0" fontId="1" fillId="0" borderId="9" xfId="0" applyFont="1" applyBorder="1" applyAlignment="1">
      <alignment horizontal="right"/>
    </xf>
    <xf numFmtId="0" fontId="1" fillId="0" borderId="7"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1" fillId="0" borderId="14"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right" vertical="center"/>
    </xf>
    <xf numFmtId="0" fontId="1" fillId="0" borderId="4" xfId="0" applyFont="1" applyBorder="1" applyAlignment="1">
      <alignment horizontal="right" vertical="center"/>
    </xf>
    <xf numFmtId="0" fontId="0" fillId="0" borderId="6" xfId="0" applyBorder="1" applyAlignment="1">
      <alignment horizontal="center" vertical="center"/>
    </xf>
    <xf numFmtId="0" fontId="2" fillId="0" borderId="0" xfId="0" applyFont="1" applyBorder="1" applyAlignment="1">
      <alignment vertical="center"/>
    </xf>
    <xf numFmtId="2" fontId="0" fillId="0" borderId="0" xfId="0" applyNumberFormat="1" applyBorder="1"/>
    <xf numFmtId="0" fontId="1" fillId="0" borderId="9" xfId="0" applyFont="1" applyBorder="1" applyAlignment="1">
      <alignment horizontal="center" vertical="center"/>
    </xf>
    <xf numFmtId="0" fontId="3" fillId="0" borderId="9" xfId="0" applyFont="1" applyFill="1" applyBorder="1" applyAlignment="1">
      <alignment horizontal="right" vertical="center"/>
    </xf>
    <xf numFmtId="0" fontId="3" fillId="0" borderId="4" xfId="0" applyFont="1" applyFill="1" applyBorder="1" applyAlignment="1">
      <alignment horizontal="right" vertical="center"/>
    </xf>
    <xf numFmtId="0" fontId="0" fillId="0" borderId="0" xfId="0" applyAlignment="1"/>
    <xf numFmtId="0" fontId="0" fillId="0" borderId="7"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0" fontId="0" fillId="11" borderId="9" xfId="0" applyFill="1" applyBorder="1" applyAlignment="1">
      <alignment horizontal="center" vertical="center"/>
    </xf>
    <xf numFmtId="0" fontId="0" fillId="11" borderId="0" xfId="0" applyFill="1" applyBorder="1" applyAlignment="1">
      <alignment horizontal="center" vertical="center"/>
    </xf>
    <xf numFmtId="0" fontId="0" fillId="11" borderId="10" xfId="0"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0" fontId="0" fillId="11" borderId="5" xfId="0" applyFill="1" applyBorder="1" applyAlignment="1">
      <alignment horizontal="center" vertical="center"/>
    </xf>
    <xf numFmtId="0" fontId="0" fillId="12" borderId="0" xfId="0" applyFill="1"/>
    <xf numFmtId="0" fontId="4" fillId="12" borderId="16" xfId="0" applyFont="1" applyFill="1" applyBorder="1" applyAlignment="1">
      <alignment vertical="center"/>
    </xf>
    <xf numFmtId="0" fontId="4" fillId="12" borderId="16" xfId="0" applyFont="1" applyFill="1" applyBorder="1" applyAlignment="1">
      <alignment horizontal="right" vertical="center"/>
    </xf>
    <xf numFmtId="0" fontId="5" fillId="13" borderId="16" xfId="0" applyFont="1" applyFill="1" applyBorder="1" applyAlignment="1">
      <alignment horizontal="right" vertical="center"/>
    </xf>
    <xf numFmtId="0" fontId="4" fillId="14" borderId="16" xfId="0" applyFont="1" applyFill="1" applyBorder="1" applyAlignment="1">
      <alignment vertical="center"/>
    </xf>
    <xf numFmtId="0" fontId="4" fillId="14" borderId="16" xfId="0" applyFont="1" applyFill="1" applyBorder="1" applyAlignment="1">
      <alignment horizontal="right" vertical="center"/>
    </xf>
    <xf numFmtId="0" fontId="4" fillId="12" borderId="17" xfId="0" applyFont="1" applyFill="1" applyBorder="1" applyAlignment="1">
      <alignment horizontal="center" vertical="center"/>
    </xf>
    <xf numFmtId="0" fontId="4" fillId="14" borderId="18" xfId="0" applyFont="1" applyFill="1" applyBorder="1" applyAlignment="1">
      <alignment horizontal="center" vertical="center"/>
    </xf>
    <xf numFmtId="0" fontId="4" fillId="12" borderId="18" xfId="0" applyFont="1" applyFill="1" applyBorder="1" applyAlignment="1">
      <alignment horizontal="center" vertical="center"/>
    </xf>
    <xf numFmtId="0" fontId="4" fillId="12" borderId="19" xfId="0" applyFont="1" applyFill="1" applyBorder="1" applyAlignment="1">
      <alignment horizontal="center" vertical="center"/>
    </xf>
    <xf numFmtId="2" fontId="4" fillId="12" borderId="14" xfId="0" applyNumberFormat="1" applyFont="1" applyFill="1" applyBorder="1" applyAlignment="1">
      <alignment horizontal="center" vertical="center"/>
    </xf>
    <xf numFmtId="2" fontId="4" fillId="12" borderId="3" xfId="0" applyNumberFormat="1" applyFont="1" applyFill="1" applyBorder="1" applyAlignment="1">
      <alignment horizontal="center" vertical="center"/>
    </xf>
    <xf numFmtId="2" fontId="4" fillId="14" borderId="0" xfId="0" applyNumberFormat="1" applyFont="1" applyFill="1" applyBorder="1" applyAlignment="1">
      <alignment horizontal="center" vertical="center"/>
    </xf>
    <xf numFmtId="2" fontId="4" fillId="14" borderId="10" xfId="0" applyNumberFormat="1" applyFont="1" applyFill="1" applyBorder="1" applyAlignment="1">
      <alignment horizontal="center" vertical="center"/>
    </xf>
    <xf numFmtId="2" fontId="4" fillId="12" borderId="0" xfId="0" applyNumberFormat="1" applyFont="1" applyFill="1" applyBorder="1" applyAlignment="1">
      <alignment horizontal="center" vertical="center"/>
    </xf>
    <xf numFmtId="2" fontId="4" fillId="12" borderId="10" xfId="0" applyNumberFormat="1" applyFont="1" applyFill="1" applyBorder="1" applyAlignment="1">
      <alignment horizontal="center" vertical="center"/>
    </xf>
    <xf numFmtId="2" fontId="4" fillId="12" borderId="6" xfId="0" applyNumberFormat="1" applyFont="1" applyFill="1" applyBorder="1" applyAlignment="1">
      <alignment horizontal="center" vertical="center"/>
    </xf>
    <xf numFmtId="2" fontId="4" fillId="12" borderId="5" xfId="0" applyNumberFormat="1" applyFont="1" applyFill="1" applyBorder="1" applyAlignment="1">
      <alignment horizontal="center" vertical="center"/>
    </xf>
    <xf numFmtId="0" fontId="0" fillId="0" borderId="0" xfId="0" applyFill="1" applyBorder="1"/>
    <xf numFmtId="0" fontId="0" fillId="0" borderId="10" xfId="0" applyFill="1" applyBorder="1"/>
    <xf numFmtId="0" fontId="0" fillId="0" borderId="6" xfId="0" applyFill="1" applyBorder="1"/>
    <xf numFmtId="0" fontId="0" fillId="0" borderId="5" xfId="0" applyFill="1" applyBorder="1"/>
    <xf numFmtId="0" fontId="0" fillId="0" borderId="9" xfId="0" applyBorder="1"/>
    <xf numFmtId="0" fontId="0" fillId="0" borderId="10" xfId="0" applyBorder="1"/>
    <xf numFmtId="0" fontId="0" fillId="0" borderId="4" xfId="0" applyBorder="1"/>
    <xf numFmtId="0" fontId="0" fillId="0" borderId="5" xfId="0" applyBorder="1"/>
    <xf numFmtId="0" fontId="1" fillId="0" borderId="17" xfId="0" applyFont="1" applyBorder="1"/>
    <xf numFmtId="0" fontId="1" fillId="0" borderId="18" xfId="0" applyFont="1" applyBorder="1"/>
    <xf numFmtId="0" fontId="1" fillId="0" borderId="19" xfId="0" applyFont="1" applyBorder="1"/>
    <xf numFmtId="0" fontId="1" fillId="0" borderId="17" xfId="0" applyFont="1" applyFill="1" applyBorder="1"/>
    <xf numFmtId="0" fontId="1" fillId="0" borderId="18" xfId="0" applyFont="1" applyFill="1" applyBorder="1"/>
    <xf numFmtId="0" fontId="1" fillId="0" borderId="19" xfId="0" applyFont="1" applyFill="1" applyBorder="1"/>
    <xf numFmtId="0" fontId="1" fillId="0" borderId="0" xfId="0" applyFont="1" applyFill="1" applyBorder="1"/>
    <xf numFmtId="0" fontId="1" fillId="0" borderId="10" xfId="0" applyFont="1" applyFill="1" applyBorder="1"/>
    <xf numFmtId="0" fontId="0" fillId="0" borderId="14" xfId="0" applyFill="1" applyBorder="1"/>
    <xf numFmtId="0" fontId="0" fillId="0" borderId="3" xfId="0" applyFill="1" applyBorder="1"/>
    <xf numFmtId="0" fontId="1" fillId="0" borderId="2" xfId="0" applyFont="1" applyBorder="1"/>
    <xf numFmtId="0" fontId="1" fillId="0" borderId="14" xfId="0" applyFont="1" applyBorder="1"/>
    <xf numFmtId="0" fontId="1" fillId="0" borderId="3" xfId="0" applyFont="1" applyBorder="1"/>
    <xf numFmtId="0" fontId="0" fillId="0" borderId="2" xfId="0" applyBorder="1"/>
    <xf numFmtId="0" fontId="0" fillId="0" borderId="14" xfId="0" applyBorder="1"/>
    <xf numFmtId="0" fontId="0" fillId="0" borderId="3" xfId="0" applyBorder="1"/>
    <xf numFmtId="0" fontId="5" fillId="13" borderId="20" xfId="0" applyFont="1" applyFill="1" applyBorder="1" applyAlignment="1">
      <alignment horizontal="right" vertical="center"/>
    </xf>
    <xf numFmtId="0" fontId="6" fillId="12" borderId="9" xfId="0" applyFont="1" applyFill="1" applyBorder="1" applyAlignment="1">
      <alignment horizontal="center" vertical="center"/>
    </xf>
    <xf numFmtId="0" fontId="6" fillId="14" borderId="9" xfId="0" applyFont="1" applyFill="1" applyBorder="1" applyAlignment="1">
      <alignment horizontal="center" vertical="center"/>
    </xf>
    <xf numFmtId="0" fontId="6" fillId="12" borderId="4" xfId="0" applyFont="1" applyFill="1" applyBorder="1" applyAlignment="1">
      <alignment horizontal="center" vertical="center"/>
    </xf>
    <xf numFmtId="2" fontId="4" fillId="0" borderId="10" xfId="0" applyNumberFormat="1"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18" xfId="0" applyFont="1" applyBorder="1" applyAlignment="1">
      <alignment horizontal="center" vertical="center"/>
    </xf>
    <xf numFmtId="0" fontId="1" fillId="0" borderId="15" xfId="0" applyFont="1" applyBorder="1" applyAlignment="1">
      <alignment horizontal="center" vertical="center"/>
    </xf>
    <xf numFmtId="0" fontId="1" fillId="17" borderId="13" xfId="0" applyFont="1" applyFill="1" applyBorder="1" applyAlignment="1">
      <alignment horizontal="center" vertical="center"/>
    </xf>
    <xf numFmtId="0" fontId="1" fillId="10" borderId="13" xfId="0" applyFont="1" applyFill="1" applyBorder="1" applyAlignment="1">
      <alignment horizontal="center" vertical="center"/>
    </xf>
    <xf numFmtId="0" fontId="1" fillId="11" borderId="13" xfId="0" applyFont="1" applyFill="1" applyBorder="1" applyAlignment="1">
      <alignment horizontal="center" vertical="center"/>
    </xf>
    <xf numFmtId="0" fontId="1" fillId="15" borderId="13" xfId="0" applyFont="1" applyFill="1" applyBorder="1" applyAlignment="1">
      <alignment horizontal="center" vertical="center"/>
    </xf>
    <xf numFmtId="0" fontId="1" fillId="16" borderId="8" xfId="0" applyFont="1" applyFill="1" applyBorder="1" applyAlignment="1">
      <alignment horizontal="center" vertical="center"/>
    </xf>
    <xf numFmtId="0" fontId="0" fillId="15" borderId="0" xfId="0" applyFill="1" applyBorder="1" applyAlignment="1">
      <alignment horizontal="center" vertical="center"/>
    </xf>
    <xf numFmtId="0" fontId="0" fillId="10" borderId="0" xfId="0" applyFill="1" applyBorder="1" applyAlignment="1">
      <alignment horizontal="center" vertical="center"/>
    </xf>
    <xf numFmtId="0" fontId="0" fillId="17" borderId="0" xfId="0" applyFill="1" applyBorder="1" applyAlignment="1">
      <alignment horizontal="center" vertical="center"/>
    </xf>
    <xf numFmtId="0" fontId="0" fillId="17" borderId="10" xfId="0" applyFill="1" applyBorder="1" applyAlignment="1">
      <alignment horizontal="center" vertical="center"/>
    </xf>
    <xf numFmtId="0" fontId="0" fillId="15" borderId="10" xfId="0" applyFill="1" applyBorder="1" applyAlignment="1">
      <alignment horizontal="center" vertical="center"/>
    </xf>
    <xf numFmtId="2" fontId="0" fillId="11" borderId="0" xfId="0" applyNumberFormat="1" applyFill="1" applyBorder="1" applyAlignment="1">
      <alignment horizontal="center" vertical="center"/>
    </xf>
    <xf numFmtId="2" fontId="0" fillId="0" borderId="0" xfId="0" applyNumberFormat="1" applyBorder="1" applyAlignment="1">
      <alignment horizontal="center" vertical="center"/>
    </xf>
    <xf numFmtId="2" fontId="0" fillId="0" borderId="10" xfId="0" applyNumberFormat="1" applyBorder="1" applyAlignment="1">
      <alignment horizontal="center" vertical="center"/>
    </xf>
    <xf numFmtId="2" fontId="0" fillId="11" borderId="6" xfId="0" applyNumberFormat="1" applyFill="1" applyBorder="1" applyAlignment="1">
      <alignment horizontal="center" vertical="center"/>
    </xf>
    <xf numFmtId="0" fontId="3" fillId="0" borderId="15" xfId="0" applyFont="1" applyBorder="1" applyAlignment="1">
      <alignment horizontal="center" vertical="center"/>
    </xf>
    <xf numFmtId="0" fontId="3" fillId="11" borderId="18" xfId="0" applyFont="1" applyFill="1" applyBorder="1" applyAlignment="1">
      <alignment horizontal="center" vertical="center"/>
    </xf>
    <xf numFmtId="0" fontId="3" fillId="0" borderId="18" xfId="0" applyFont="1" applyBorder="1" applyAlignment="1">
      <alignment horizontal="center" vertical="center"/>
    </xf>
    <xf numFmtId="0" fontId="3" fillId="11" borderId="19" xfId="0" applyFont="1" applyFill="1" applyBorder="1" applyAlignment="1">
      <alignment horizontal="center" vertical="center"/>
    </xf>
    <xf numFmtId="0" fontId="0" fillId="0" borderId="0" xfId="0" applyAlignment="1">
      <alignment horizontal="center"/>
    </xf>
    <xf numFmtId="0" fontId="1" fillId="0" borderId="7"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vertical="center"/>
    </xf>
    <xf numFmtId="0" fontId="1" fillId="0" borderId="2" xfId="0" applyFont="1" applyFill="1" applyBorder="1" applyAlignment="1">
      <alignment horizontal="center"/>
    </xf>
    <xf numFmtId="0" fontId="1" fillId="0" borderId="13" xfId="0" applyFont="1" applyFill="1" applyBorder="1" applyAlignment="1">
      <alignment horizontal="center"/>
    </xf>
    <xf numFmtId="0" fontId="1" fillId="0" borderId="8" xfId="0" applyFont="1" applyFill="1" applyBorder="1" applyAlignment="1">
      <alignment horizontal="center"/>
    </xf>
    <xf numFmtId="0" fontId="1" fillId="0" borderId="2" xfId="0" applyFont="1" applyBorder="1" applyAlignment="1">
      <alignment horizontal="center"/>
    </xf>
    <xf numFmtId="0" fontId="1" fillId="0" borderId="13" xfId="0" applyFon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3" fillId="0" borderId="7" xfId="0" applyFont="1" applyBorder="1" applyAlignment="1">
      <alignment horizontal="center" vertical="center"/>
    </xf>
    <xf numFmtId="0" fontId="3" fillId="0" borderId="13" xfId="0" applyFont="1" applyBorder="1" applyAlignment="1">
      <alignment horizontal="center" vertical="center"/>
    </xf>
    <xf numFmtId="0" fontId="3" fillId="0" borderId="8" xfId="0" applyFont="1"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73"/>
  <sheetViews>
    <sheetView tabSelected="1" topLeftCell="CL1" zoomScaleNormal="100" workbookViewId="0">
      <selection activeCell="CX26" sqref="CX26"/>
    </sheetView>
  </sheetViews>
  <sheetFormatPr defaultRowHeight="15" x14ac:dyDescent="0.25"/>
  <cols>
    <col min="1" max="1" width="10.5703125" bestFit="1" customWidth="1"/>
    <col min="2" max="2" width="5" bestFit="1" customWidth="1"/>
    <col min="3" max="3" width="8" bestFit="1" customWidth="1"/>
    <col min="4" max="4" width="12" bestFit="1" customWidth="1"/>
    <col min="5" max="5" width="13.42578125" bestFit="1" customWidth="1"/>
    <col min="6" max="7" width="12" bestFit="1" customWidth="1"/>
    <col min="8" max="8" width="8.5703125" bestFit="1" customWidth="1"/>
    <col min="9" max="9" width="13.5703125" bestFit="1" customWidth="1"/>
    <col min="10" max="12" width="13.5703125" customWidth="1"/>
    <col min="13" max="13" width="20.140625" bestFit="1" customWidth="1"/>
    <col min="14" max="14" width="5.5703125" bestFit="1" customWidth="1"/>
    <col min="15" max="15" width="10.28515625" bestFit="1" customWidth="1"/>
    <col min="16" max="18" width="10.28515625" customWidth="1"/>
    <col min="19" max="19" width="16.7109375" bestFit="1" customWidth="1"/>
    <col min="20" max="20" width="16.7109375" customWidth="1"/>
    <col min="21" max="21" width="5.5703125" bestFit="1" customWidth="1"/>
    <col min="22" max="22" width="10.28515625" bestFit="1" customWidth="1"/>
    <col min="23" max="25" width="10.28515625" customWidth="1"/>
    <col min="26" max="26" width="15.5703125" bestFit="1" customWidth="1"/>
    <col min="27" max="27" width="15.5703125" customWidth="1"/>
    <col min="28" max="28" width="5.42578125" bestFit="1" customWidth="1"/>
    <col min="29" max="29" width="10.140625" bestFit="1" customWidth="1"/>
    <col min="30" max="32" width="10.140625" customWidth="1"/>
    <col min="33" max="33" width="15.42578125" bestFit="1" customWidth="1"/>
    <col min="34" max="34" width="15.42578125" customWidth="1"/>
    <col min="35" max="35" width="5.42578125" bestFit="1" customWidth="1"/>
    <col min="36" max="36" width="10.140625" bestFit="1" customWidth="1"/>
    <col min="37" max="39" width="10.140625" customWidth="1"/>
    <col min="40" max="40" width="15.42578125" bestFit="1" customWidth="1"/>
    <col min="41" max="41" width="15.42578125" customWidth="1"/>
    <col min="42" max="42" width="6.85546875" bestFit="1" customWidth="1"/>
    <col min="43" max="43" width="11.5703125" bestFit="1" customWidth="1"/>
    <col min="44" max="46" width="11.5703125" customWidth="1"/>
    <col min="47" max="47" width="18.140625" bestFit="1" customWidth="1"/>
    <col min="48" max="48" width="18.140625" customWidth="1"/>
    <col min="49" max="49" width="6.85546875" bestFit="1" customWidth="1"/>
    <col min="50" max="50" width="11.5703125" bestFit="1" customWidth="1"/>
    <col min="51" max="53" width="11.5703125" customWidth="1"/>
    <col min="54" max="54" width="16.85546875" bestFit="1" customWidth="1"/>
    <col min="55" max="55" width="16.85546875" customWidth="1"/>
    <col min="56" max="56" width="4.7109375" bestFit="1" customWidth="1"/>
    <col min="57" max="57" width="9.42578125" bestFit="1" customWidth="1"/>
    <col min="58" max="60" width="9.42578125" customWidth="1"/>
    <col min="61" max="61" width="14.7109375" bestFit="1" customWidth="1"/>
    <col min="62" max="62" width="14.7109375" customWidth="1"/>
    <col min="63" max="63" width="4.7109375" bestFit="1" customWidth="1"/>
    <col min="64" max="64" width="9.42578125" bestFit="1" customWidth="1"/>
    <col min="65" max="67" width="9.42578125" customWidth="1"/>
    <col min="68" max="68" width="14.7109375" bestFit="1" customWidth="1"/>
    <col min="69" max="69" width="14.7109375" customWidth="1"/>
    <col min="70" max="70" width="7" bestFit="1" customWidth="1"/>
    <col min="71" max="71" width="11.7109375" bestFit="1" customWidth="1"/>
    <col min="72" max="74" width="11.7109375" customWidth="1"/>
    <col min="75" max="75" width="17" bestFit="1" customWidth="1"/>
    <col min="76" max="76" width="17" customWidth="1"/>
    <col min="77" max="77" width="6.7109375" bestFit="1" customWidth="1"/>
    <col min="78" max="78" width="11.42578125" bestFit="1" customWidth="1"/>
    <col min="79" max="81" width="11.42578125" customWidth="1"/>
    <col min="82" max="82" width="16.7109375" bestFit="1" customWidth="1"/>
    <col min="83" max="84" width="16.7109375" customWidth="1"/>
    <col min="85" max="85" width="10.28515625" bestFit="1" customWidth="1"/>
    <col min="86" max="86" width="10.28515625" customWidth="1"/>
    <col min="87" max="87" width="10.28515625" style="13" customWidth="1"/>
    <col min="88" max="88" width="11.85546875" bestFit="1" customWidth="1"/>
    <col min="89" max="89" width="11" bestFit="1" customWidth="1"/>
    <col min="90" max="90" width="13.28515625" bestFit="1" customWidth="1"/>
    <col min="91" max="91" width="11.7109375" bestFit="1" customWidth="1"/>
    <col min="92" max="92" width="11.85546875" bestFit="1" customWidth="1"/>
    <col min="93" max="93" width="12.28515625" bestFit="1" customWidth="1"/>
    <col min="94" max="94" width="11.85546875" bestFit="1" customWidth="1"/>
  </cols>
  <sheetData>
    <row r="1" spans="1:129" x14ac:dyDescent="0.25">
      <c r="A1" t="s">
        <v>0</v>
      </c>
      <c r="B1" t="s">
        <v>109</v>
      </c>
      <c r="C1" t="s">
        <v>12</v>
      </c>
      <c r="D1" s="3" t="s">
        <v>13</v>
      </c>
      <c r="E1" s="3" t="s">
        <v>14</v>
      </c>
      <c r="F1" s="3" t="s">
        <v>1</v>
      </c>
      <c r="G1" s="3" t="s">
        <v>17</v>
      </c>
      <c r="H1" t="s">
        <v>67</v>
      </c>
      <c r="I1" t="s">
        <v>23</v>
      </c>
      <c r="J1" t="s">
        <v>76</v>
      </c>
      <c r="K1" t="s">
        <v>77</v>
      </c>
      <c r="L1" t="s">
        <v>78</v>
      </c>
      <c r="M1" t="s">
        <v>22</v>
      </c>
      <c r="N1" s="9" t="s">
        <v>2</v>
      </c>
      <c r="O1" s="9" t="s">
        <v>18</v>
      </c>
      <c r="P1" s="9" t="s">
        <v>79</v>
      </c>
      <c r="Q1" s="9" t="s">
        <v>80</v>
      </c>
      <c r="R1" s="9" t="s">
        <v>81</v>
      </c>
      <c r="S1" s="9" t="s">
        <v>19</v>
      </c>
      <c r="T1" s="9" t="s">
        <v>146</v>
      </c>
      <c r="U1" s="11" t="s">
        <v>3</v>
      </c>
      <c r="V1" s="11" t="s">
        <v>20</v>
      </c>
      <c r="W1" s="11" t="s">
        <v>82</v>
      </c>
      <c r="X1" s="11" t="s">
        <v>84</v>
      </c>
      <c r="Y1" s="11" t="s">
        <v>83</v>
      </c>
      <c r="Z1" s="11" t="s">
        <v>21</v>
      </c>
      <c r="AA1" s="11" t="s">
        <v>147</v>
      </c>
      <c r="AB1" s="9" t="s">
        <v>4</v>
      </c>
      <c r="AC1" s="9" t="s">
        <v>24</v>
      </c>
      <c r="AD1" s="9" t="s">
        <v>88</v>
      </c>
      <c r="AE1" s="9" t="s">
        <v>89</v>
      </c>
      <c r="AF1" s="9" t="s">
        <v>90</v>
      </c>
      <c r="AG1" s="9" t="s">
        <v>25</v>
      </c>
      <c r="AH1" s="9" t="s">
        <v>148</v>
      </c>
      <c r="AI1" s="11" t="s">
        <v>5</v>
      </c>
      <c r="AJ1" s="11" t="s">
        <v>26</v>
      </c>
      <c r="AK1" s="11" t="s">
        <v>85</v>
      </c>
      <c r="AL1" s="11" t="s">
        <v>86</v>
      </c>
      <c r="AM1" s="11" t="s">
        <v>87</v>
      </c>
      <c r="AN1" s="11" t="s">
        <v>27</v>
      </c>
      <c r="AO1" s="11" t="s">
        <v>149</v>
      </c>
      <c r="AP1" s="9" t="s">
        <v>6</v>
      </c>
      <c r="AQ1" s="9" t="s">
        <v>28</v>
      </c>
      <c r="AR1" s="9" t="s">
        <v>91</v>
      </c>
      <c r="AS1" s="9" t="s">
        <v>92</v>
      </c>
      <c r="AT1" s="9" t="s">
        <v>93</v>
      </c>
      <c r="AU1" s="9" t="s">
        <v>29</v>
      </c>
      <c r="AV1" s="9" t="s">
        <v>150</v>
      </c>
      <c r="AW1" s="11" t="s">
        <v>7</v>
      </c>
      <c r="AX1" s="11" t="s">
        <v>30</v>
      </c>
      <c r="AY1" s="11" t="s">
        <v>94</v>
      </c>
      <c r="AZ1" s="11" t="s">
        <v>95</v>
      </c>
      <c r="BA1" s="11" t="s">
        <v>96</v>
      </c>
      <c r="BB1" s="11" t="s">
        <v>31</v>
      </c>
      <c r="BC1" s="11" t="s">
        <v>151</v>
      </c>
      <c r="BD1" s="9" t="s">
        <v>10</v>
      </c>
      <c r="BE1" s="9" t="s">
        <v>32</v>
      </c>
      <c r="BF1" s="9" t="s">
        <v>97</v>
      </c>
      <c r="BG1" s="9" t="s">
        <v>98</v>
      </c>
      <c r="BH1" s="9" t="s">
        <v>99</v>
      </c>
      <c r="BI1" s="9" t="s">
        <v>33</v>
      </c>
      <c r="BJ1" s="9" t="s">
        <v>152</v>
      </c>
      <c r="BK1" s="11" t="s">
        <v>11</v>
      </c>
      <c r="BL1" s="11" t="s">
        <v>34</v>
      </c>
      <c r="BM1" s="11" t="s">
        <v>100</v>
      </c>
      <c r="BN1" s="11" t="s">
        <v>101</v>
      </c>
      <c r="BO1" s="11" t="s">
        <v>102</v>
      </c>
      <c r="BP1" s="11" t="s">
        <v>35</v>
      </c>
      <c r="BQ1" s="11" t="s">
        <v>153</v>
      </c>
      <c r="BR1" s="9" t="s">
        <v>8</v>
      </c>
      <c r="BS1" s="9" t="s">
        <v>36</v>
      </c>
      <c r="BT1" s="9" t="s">
        <v>103</v>
      </c>
      <c r="BU1" s="9" t="s">
        <v>104</v>
      </c>
      <c r="BV1" s="9" t="s">
        <v>105</v>
      </c>
      <c r="BW1" s="9" t="s">
        <v>37</v>
      </c>
      <c r="BX1" s="9" t="s">
        <v>154</v>
      </c>
      <c r="BY1" s="11" t="s">
        <v>9</v>
      </c>
      <c r="BZ1" s="11" t="s">
        <v>38</v>
      </c>
      <c r="CA1" s="11" t="s">
        <v>106</v>
      </c>
      <c r="CB1" s="11" t="s">
        <v>107</v>
      </c>
      <c r="CC1" s="11" t="s">
        <v>108</v>
      </c>
      <c r="CD1" s="11" t="s">
        <v>39</v>
      </c>
      <c r="CE1" s="11" t="s">
        <v>155</v>
      </c>
      <c r="CF1" s="1" t="s">
        <v>56</v>
      </c>
      <c r="CG1" s="2" t="s">
        <v>55</v>
      </c>
      <c r="CH1" s="2" t="s">
        <v>220</v>
      </c>
      <c r="CI1" s="13" t="s">
        <v>57</v>
      </c>
      <c r="CJ1" t="s">
        <v>40</v>
      </c>
      <c r="CK1" t="s">
        <v>41</v>
      </c>
      <c r="CL1" t="s">
        <v>42</v>
      </c>
      <c r="CM1" t="s">
        <v>43</v>
      </c>
      <c r="CN1" t="s">
        <v>44</v>
      </c>
      <c r="CO1" s="15" t="s">
        <v>46</v>
      </c>
      <c r="CP1" s="15" t="s">
        <v>45</v>
      </c>
      <c r="CQ1" s="15" t="s">
        <v>47</v>
      </c>
      <c r="CR1" s="15" t="s">
        <v>48</v>
      </c>
      <c r="CS1" t="s">
        <v>156</v>
      </c>
      <c r="CT1" t="s">
        <v>157</v>
      </c>
      <c r="CU1" t="s">
        <v>158</v>
      </c>
      <c r="CV1" t="s">
        <v>332</v>
      </c>
      <c r="CW1" t="s">
        <v>160</v>
      </c>
      <c r="CX1" s="13" t="s">
        <v>53</v>
      </c>
    </row>
    <row r="2" spans="1:129" x14ac:dyDescent="0.25">
      <c r="A2">
        <v>1</v>
      </c>
      <c r="B2">
        <v>1</v>
      </c>
      <c r="C2" s="3" t="s">
        <v>16</v>
      </c>
      <c r="D2" s="3">
        <v>34</v>
      </c>
      <c r="E2" s="3" t="s">
        <v>15</v>
      </c>
      <c r="F2" s="3">
        <v>11</v>
      </c>
      <c r="G2" s="3">
        <v>11</v>
      </c>
      <c r="H2" s="3">
        <v>0</v>
      </c>
      <c r="I2" s="3">
        <v>1</v>
      </c>
      <c r="J2" s="3">
        <f>26/1000</f>
        <v>2.5999999999999999E-2</v>
      </c>
      <c r="K2" s="3">
        <v>0.23</v>
      </c>
      <c r="L2" s="3">
        <f>LOG10(J2/K2)</f>
        <v>-0.94675448804677498</v>
      </c>
      <c r="M2" s="3">
        <v>4</v>
      </c>
      <c r="N2" s="10">
        <v>0</v>
      </c>
      <c r="O2" s="10">
        <v>1</v>
      </c>
      <c r="P2" s="10">
        <f>18/1000</f>
        <v>1.7999999999999999E-2</v>
      </c>
      <c r="Q2" s="10">
        <v>2.4E-2</v>
      </c>
      <c r="R2" s="10">
        <f>LOG10(P2/Q2)</f>
        <v>-0.12493873660830002</v>
      </c>
      <c r="S2" s="10">
        <v>3</v>
      </c>
      <c r="T2" s="10">
        <v>8</v>
      </c>
      <c r="U2" s="12">
        <v>0</v>
      </c>
      <c r="V2" s="12">
        <v>1</v>
      </c>
      <c r="W2" s="12">
        <f>33/1000</f>
        <v>3.3000000000000002E-2</v>
      </c>
      <c r="X2" s="12">
        <v>0.36299999999999999</v>
      </c>
      <c r="Y2" s="12">
        <f>LOG10(W2/X2)</f>
        <v>-1.0413926851582249</v>
      </c>
      <c r="Z2" s="12">
        <v>4</v>
      </c>
      <c r="AA2" s="12">
        <v>10</v>
      </c>
      <c r="AB2" s="10">
        <v>0</v>
      </c>
      <c r="AC2" s="10">
        <v>0</v>
      </c>
      <c r="AD2" s="10">
        <f>220/780</f>
        <v>0.28205128205128205</v>
      </c>
      <c r="AE2" s="10">
        <v>7.1999999999999995E-2</v>
      </c>
      <c r="AF2" s="10">
        <f>LOG10(AD2/AE2)</f>
        <v>0.59299558170045741</v>
      </c>
      <c r="AG2" s="10">
        <v>3</v>
      </c>
      <c r="AH2" s="10">
        <v>1</v>
      </c>
      <c r="AI2" s="12">
        <v>0</v>
      </c>
      <c r="AJ2" s="12">
        <v>1</v>
      </c>
      <c r="AK2" s="12">
        <f>26/30</f>
        <v>0.8666666666666667</v>
      </c>
      <c r="AL2" s="12">
        <v>0.25</v>
      </c>
      <c r="AM2" s="12">
        <f>LOG10(AK2/AL2)</f>
        <v>0.53991208457911788</v>
      </c>
      <c r="AN2" s="12">
        <v>3</v>
      </c>
      <c r="AO2" s="12">
        <v>2</v>
      </c>
      <c r="AP2" s="10">
        <v>0</v>
      </c>
      <c r="AQ2" s="10">
        <v>1</v>
      </c>
      <c r="AR2" s="10">
        <f>8/1000</f>
        <v>8.0000000000000002E-3</v>
      </c>
      <c r="AS2" s="10">
        <v>1.2E-2</v>
      </c>
      <c r="AT2" s="10">
        <f>LOG10(AR2/AS2)</f>
        <v>-0.17609125905568127</v>
      </c>
      <c r="AU2" s="10">
        <v>4</v>
      </c>
      <c r="AV2" s="10">
        <v>9</v>
      </c>
      <c r="AW2" s="12">
        <v>0</v>
      </c>
      <c r="AX2" s="12">
        <v>1</v>
      </c>
      <c r="AY2" s="12">
        <f>34/1000</f>
        <v>3.4000000000000002E-2</v>
      </c>
      <c r="AZ2" s="12">
        <v>0.41499999999999998</v>
      </c>
      <c r="BA2" s="12">
        <f>LOG10(AY2/AZ2)</f>
        <v>-1.0865691796698376</v>
      </c>
      <c r="BB2" s="12">
        <v>3</v>
      </c>
      <c r="BC2" s="12">
        <v>7</v>
      </c>
      <c r="BD2" s="10">
        <v>0</v>
      </c>
      <c r="BE2" s="10">
        <v>1</v>
      </c>
      <c r="BF2" s="10">
        <f>57/300</f>
        <v>0.19</v>
      </c>
      <c r="BG2" s="10">
        <v>8.4000000000000005E-2</v>
      </c>
      <c r="BH2" s="10">
        <f>LOG10(BF2/BG2)</f>
        <v>0.35447431489094727</v>
      </c>
      <c r="BI2" s="10">
        <v>3</v>
      </c>
      <c r="BJ2" s="10">
        <v>4</v>
      </c>
      <c r="BK2" s="12">
        <v>0</v>
      </c>
      <c r="BL2" s="12">
        <v>1</v>
      </c>
      <c r="BM2" s="12">
        <f>28/1000</f>
        <v>2.8000000000000001E-2</v>
      </c>
      <c r="BN2" s="12">
        <v>0.29199999999999998</v>
      </c>
      <c r="BO2" s="12">
        <f>LOG10(BM2/BN2)</f>
        <v>-1.018224820106199</v>
      </c>
      <c r="BP2" s="12">
        <v>3</v>
      </c>
      <c r="BQ2" s="12">
        <v>6</v>
      </c>
      <c r="BR2" s="10">
        <v>0</v>
      </c>
      <c r="BS2" s="10">
        <v>1</v>
      </c>
      <c r="BT2" s="10">
        <f>48/1000</f>
        <v>4.8000000000000001E-2</v>
      </c>
      <c r="BU2" s="10">
        <v>7.0000000000000007E-2</v>
      </c>
      <c r="BV2" s="10">
        <f>LOG10(BT2/BU2)</f>
        <v>-0.16385680263866967</v>
      </c>
      <c r="BW2" s="10">
        <v>2</v>
      </c>
      <c r="BX2" s="10">
        <v>5</v>
      </c>
      <c r="BY2" s="12">
        <v>0</v>
      </c>
      <c r="BZ2" s="12">
        <v>1</v>
      </c>
      <c r="CA2" s="12">
        <f>32/40</f>
        <v>0.8</v>
      </c>
      <c r="CB2" s="12">
        <v>0.32</v>
      </c>
      <c r="CC2" s="12">
        <f>LOG10(CA2/CB2)</f>
        <v>0.3979400086720376</v>
      </c>
      <c r="CD2" s="12">
        <v>3</v>
      </c>
      <c r="CE2" s="12">
        <v>3</v>
      </c>
      <c r="CF2" s="4">
        <f>SUM(N2,U2,AB2,AI2,AP2,AW2,BD2,BK2,BR2,BY2)</f>
        <v>0</v>
      </c>
      <c r="CG2" s="5">
        <f>SUM(O2,V2,AC2,AJ2,AQ2,AX2,BE2,BL2,BS2,BZ2,)</f>
        <v>9</v>
      </c>
      <c r="CH2" s="5">
        <f>AVERAGE(R2,Y2,AF2,AM2,AT2,BA2,BH2,BO2,BV2,CC2)</f>
        <v>-0.17257514933943524</v>
      </c>
      <c r="CI2" s="13" t="s">
        <v>58</v>
      </c>
      <c r="CJ2" s="3">
        <v>1</v>
      </c>
      <c r="CK2" s="3">
        <v>2</v>
      </c>
      <c r="CL2" s="3">
        <v>4</v>
      </c>
      <c r="CM2" s="3">
        <v>4</v>
      </c>
      <c r="CN2" s="3">
        <v>5</v>
      </c>
      <c r="CO2" s="8" t="s">
        <v>49</v>
      </c>
      <c r="CP2" s="8" t="s">
        <v>50</v>
      </c>
      <c r="CQ2" s="8" t="s">
        <v>51</v>
      </c>
      <c r="CR2" s="8" t="s">
        <v>52</v>
      </c>
      <c r="CS2" s="3">
        <v>-2</v>
      </c>
      <c r="CT2" s="3">
        <v>-1</v>
      </c>
      <c r="CU2" s="3">
        <v>1</v>
      </c>
      <c r="CV2" s="3">
        <v>0</v>
      </c>
      <c r="CW2" s="3">
        <v>2</v>
      </c>
      <c r="CX2" s="13" t="s">
        <v>54</v>
      </c>
      <c r="CY2" s="3"/>
      <c r="CZ2" s="3"/>
      <c r="DA2" s="3"/>
      <c r="DB2" s="3"/>
      <c r="DC2" s="3"/>
      <c r="DD2" s="3"/>
      <c r="DE2" s="3"/>
      <c r="DF2" s="3"/>
      <c r="DG2" s="3"/>
      <c r="DH2" s="3"/>
      <c r="DI2" s="3"/>
      <c r="DJ2" s="3"/>
      <c r="DK2" s="3"/>
      <c r="DL2" s="3"/>
      <c r="DM2" s="3"/>
      <c r="DN2" s="3"/>
      <c r="DO2" s="3"/>
      <c r="DP2" s="3"/>
      <c r="DQ2" s="3"/>
      <c r="DR2" s="3"/>
      <c r="DS2" s="3"/>
      <c r="DT2" s="3"/>
      <c r="DU2" s="3"/>
      <c r="DV2" s="3"/>
      <c r="DW2" s="3"/>
      <c r="DX2" s="3"/>
      <c r="DY2" s="3"/>
    </row>
    <row r="3" spans="1:129" x14ac:dyDescent="0.25">
      <c r="A3">
        <v>2</v>
      </c>
      <c r="B3">
        <v>2</v>
      </c>
      <c r="C3" s="3" t="s">
        <v>16</v>
      </c>
      <c r="D3" s="3">
        <v>28</v>
      </c>
      <c r="E3" s="3" t="s">
        <v>15</v>
      </c>
      <c r="F3" s="3">
        <v>10</v>
      </c>
      <c r="G3" s="3">
        <v>13</v>
      </c>
      <c r="H3" s="3">
        <v>0</v>
      </c>
      <c r="I3" s="3">
        <v>1</v>
      </c>
      <c r="J3" s="3">
        <f>26/30</f>
        <v>0.8666666666666667</v>
      </c>
      <c r="K3" s="3">
        <v>0.23</v>
      </c>
      <c r="L3" s="3">
        <f t="shared" ref="L3:L46" si="0">LOG10(J3/K3)</f>
        <v>0.57612425723356264</v>
      </c>
      <c r="M3" s="3">
        <v>3</v>
      </c>
      <c r="N3" s="10">
        <v>0</v>
      </c>
      <c r="O3" s="10">
        <v>1</v>
      </c>
      <c r="P3" s="10">
        <f>162/1000</f>
        <v>0.16200000000000001</v>
      </c>
      <c r="Q3" s="10">
        <v>0.68600000000000005</v>
      </c>
      <c r="R3" s="10">
        <f t="shared" ref="R3:R46" si="1">LOG10(P3/Q3)</f>
        <v>-0.62680910116412081</v>
      </c>
      <c r="S3" s="10">
        <v>3</v>
      </c>
      <c r="T3" s="10">
        <v>8</v>
      </c>
      <c r="U3" s="12">
        <v>0</v>
      </c>
      <c r="V3" s="12">
        <v>1</v>
      </c>
      <c r="W3" s="12">
        <f>7/40</f>
        <v>0.17499999999999999</v>
      </c>
      <c r="X3" s="12">
        <v>8.0000000000000002E-3</v>
      </c>
      <c r="Y3" s="12">
        <f t="shared" ref="Y3:Y46" si="2">LOG10(W3/X3)</f>
        <v>1.3399480616943509</v>
      </c>
      <c r="Z3" s="12">
        <v>3</v>
      </c>
      <c r="AA3" s="12">
        <v>10</v>
      </c>
      <c r="AB3" s="10">
        <v>0</v>
      </c>
      <c r="AC3" s="10">
        <v>1</v>
      </c>
      <c r="AD3" s="10">
        <f>167/1000</f>
        <v>0.16700000000000001</v>
      </c>
      <c r="AE3" s="10">
        <v>0.64</v>
      </c>
      <c r="AF3" s="10">
        <f t="shared" ref="AF3:AF46" si="3">LOG10(AD3/AE3)</f>
        <v>-0.58346350283630388</v>
      </c>
      <c r="AG3" s="10">
        <v>4</v>
      </c>
      <c r="AH3" s="10">
        <v>1</v>
      </c>
      <c r="AI3" s="12">
        <v>0</v>
      </c>
      <c r="AJ3" s="12">
        <v>1</v>
      </c>
      <c r="AK3" s="12">
        <f>4/1000</f>
        <v>4.0000000000000001E-3</v>
      </c>
      <c r="AL3" s="12">
        <v>4.1000000000000003E-3</v>
      </c>
      <c r="AM3" s="12">
        <f t="shared" ref="AM3:AM46" si="4">LOG10(AK3/AL3)</f>
        <v>-1.0723865391773113E-2</v>
      </c>
      <c r="AN3" s="12">
        <v>4</v>
      </c>
      <c r="AO3" s="12">
        <v>2</v>
      </c>
      <c r="AP3" s="10">
        <v>0</v>
      </c>
      <c r="AQ3" s="10">
        <v>1</v>
      </c>
      <c r="AR3" s="10">
        <f>202/210</f>
        <v>0.96190476190476193</v>
      </c>
      <c r="AS3" s="10">
        <v>0.66300000000000003</v>
      </c>
      <c r="AT3" s="10">
        <f t="shared" ref="AT3:AT46" si="5">LOG10(AR3/AS3)</f>
        <v>0.16161854630793135</v>
      </c>
      <c r="AU3" s="10">
        <v>3</v>
      </c>
      <c r="AV3" s="10">
        <v>9</v>
      </c>
      <c r="AW3" s="12">
        <v>0</v>
      </c>
      <c r="AX3" s="12">
        <v>1</v>
      </c>
      <c r="AY3" s="12">
        <f>6/40</f>
        <v>0.15</v>
      </c>
      <c r="AZ3" s="12">
        <v>7.0000000000000001E-3</v>
      </c>
      <c r="BA3" s="12">
        <f t="shared" ref="BA3:BA46" si="6">LOG10(AY3/AZ3)</f>
        <v>1.3309932190414244</v>
      </c>
      <c r="BB3" s="12">
        <v>3</v>
      </c>
      <c r="BC3" s="12">
        <v>7</v>
      </c>
      <c r="BD3" s="10">
        <v>0</v>
      </c>
      <c r="BE3" s="10">
        <v>1</v>
      </c>
      <c r="BF3" s="10">
        <f>243/1000</f>
        <v>0.24299999999999999</v>
      </c>
      <c r="BG3" s="10">
        <v>0.75900000000000001</v>
      </c>
      <c r="BH3" s="10">
        <f t="shared" ref="BH3:BH46" si="7">LOG10(BF3/BG3)</f>
        <v>-0.49463550229716818</v>
      </c>
      <c r="BI3" s="10">
        <v>2</v>
      </c>
      <c r="BJ3" s="10">
        <v>4</v>
      </c>
      <c r="BK3" s="12">
        <v>0</v>
      </c>
      <c r="BL3" s="12">
        <v>1</v>
      </c>
      <c r="BM3" s="12">
        <f>2/1000</f>
        <v>2E-3</v>
      </c>
      <c r="BN3" s="12">
        <v>2.2000000000000001E-3</v>
      </c>
      <c r="BO3" s="12">
        <f t="shared" ref="BO3:BO46" si="8">LOG10(BM3/BN3)</f>
        <v>-4.1392685158225057E-2</v>
      </c>
      <c r="BP3" s="12">
        <v>3</v>
      </c>
      <c r="BQ3" s="12">
        <v>6</v>
      </c>
      <c r="BR3" s="10">
        <v>0</v>
      </c>
      <c r="BS3" s="10">
        <v>1</v>
      </c>
      <c r="BT3" s="10">
        <f>232/280</f>
        <v>0.82857142857142863</v>
      </c>
      <c r="BU3" s="10">
        <v>0.73</v>
      </c>
      <c r="BV3" s="10">
        <f t="shared" ref="BV3:BV46" si="9">LOG10(BT3/BU3)</f>
        <v>5.5007093428224609E-2</v>
      </c>
      <c r="BW3" s="10">
        <v>3</v>
      </c>
      <c r="BX3" s="10">
        <v>5</v>
      </c>
      <c r="BY3" s="12">
        <v>0</v>
      </c>
      <c r="BZ3" s="12">
        <v>1</v>
      </c>
      <c r="CA3" s="12">
        <f>8/40</f>
        <v>0.2</v>
      </c>
      <c r="CB3" s="12">
        <v>8.9999999999999993E-3</v>
      </c>
      <c r="CC3" s="12">
        <f t="shared" ref="CC3:CC46" si="10">LOG10(CA3/CB3)</f>
        <v>1.3467874862246563</v>
      </c>
      <c r="CD3" s="12">
        <v>3</v>
      </c>
      <c r="CE3" s="12">
        <v>3</v>
      </c>
      <c r="CF3" s="4">
        <f t="shared" ref="CF3:CF46" si="11">SUM(N3,U3,AB3,AI3,AP3,AW3,BD3,BK3,BR3,BY3)</f>
        <v>0</v>
      </c>
      <c r="CG3" s="5">
        <f t="shared" ref="CG3:CG46" si="12">SUM(O3,V3,AC3,AJ3,AQ3,AX3,BE3,BL3,BS3,BZ3,)</f>
        <v>10</v>
      </c>
      <c r="CH3" s="5">
        <f t="shared" ref="CH3:CH46" si="13">AVERAGE(R3,Y3,AF3,AM3,AT3,BA3,BH3,BO3,BV3,CC3)</f>
        <v>0.24773297498489963</v>
      </c>
      <c r="CI3" s="13" t="s">
        <v>58</v>
      </c>
      <c r="CJ3" s="3">
        <v>4</v>
      </c>
      <c r="CK3" s="3">
        <v>3</v>
      </c>
      <c r="CL3" s="3">
        <v>5</v>
      </c>
      <c r="CM3" s="3">
        <v>2</v>
      </c>
      <c r="CN3" s="3">
        <v>2</v>
      </c>
      <c r="CO3" s="8" t="s">
        <v>50</v>
      </c>
      <c r="CP3" s="8" t="s">
        <v>59</v>
      </c>
      <c r="CQ3" s="8" t="s">
        <v>60</v>
      </c>
      <c r="CR3" s="8" t="s">
        <v>49</v>
      </c>
      <c r="CS3" s="3">
        <v>1</v>
      </c>
      <c r="CT3" s="3">
        <v>0</v>
      </c>
      <c r="CU3" s="3">
        <v>2</v>
      </c>
      <c r="CV3" s="3">
        <v>-2</v>
      </c>
      <c r="CW3" s="3">
        <v>-1</v>
      </c>
      <c r="CX3" s="13" t="s">
        <v>335</v>
      </c>
      <c r="CY3" s="3"/>
      <c r="CZ3" s="3"/>
      <c r="DA3" s="3"/>
      <c r="DB3" s="3"/>
      <c r="DC3" s="3"/>
      <c r="DD3" s="3"/>
      <c r="DE3" s="3"/>
      <c r="DF3" s="3"/>
      <c r="DG3" s="3"/>
      <c r="DH3" s="3"/>
      <c r="DI3" s="3"/>
      <c r="DJ3" s="3"/>
      <c r="DK3" s="3"/>
      <c r="DL3" s="3"/>
      <c r="DM3" s="3"/>
      <c r="DN3" s="3"/>
      <c r="DO3" s="3"/>
      <c r="DP3" s="3"/>
      <c r="DQ3" s="3"/>
      <c r="DR3" s="3"/>
      <c r="DS3" s="3"/>
      <c r="DT3" s="3"/>
      <c r="DU3" s="3"/>
      <c r="DV3" s="3"/>
      <c r="DW3" s="3"/>
      <c r="DX3" s="3"/>
      <c r="DY3" s="3"/>
    </row>
    <row r="4" spans="1:129" x14ac:dyDescent="0.25">
      <c r="A4">
        <v>3</v>
      </c>
      <c r="B4">
        <v>1</v>
      </c>
      <c r="C4" s="3" t="s">
        <v>16</v>
      </c>
      <c r="D4" s="3">
        <v>31</v>
      </c>
      <c r="E4" s="3" t="s">
        <v>15</v>
      </c>
      <c r="F4" s="3">
        <v>10</v>
      </c>
      <c r="G4" s="3">
        <v>13</v>
      </c>
      <c r="H4" s="3">
        <v>0</v>
      </c>
      <c r="I4" s="3">
        <v>1</v>
      </c>
      <c r="J4" s="3">
        <f>26/1000</f>
        <v>2.5999999999999999E-2</v>
      </c>
      <c r="K4" s="3">
        <v>0.23</v>
      </c>
      <c r="L4" s="3">
        <f t="shared" si="0"/>
        <v>-0.94675448804677498</v>
      </c>
      <c r="M4" s="3">
        <v>2</v>
      </c>
      <c r="N4" s="10">
        <v>1</v>
      </c>
      <c r="O4" s="10">
        <v>3</v>
      </c>
      <c r="P4" s="10">
        <v>2.4E-2</v>
      </c>
      <c r="Q4" s="10">
        <v>2.4E-2</v>
      </c>
      <c r="R4" s="10">
        <f t="shared" si="1"/>
        <v>0</v>
      </c>
      <c r="S4" s="10">
        <v>4</v>
      </c>
      <c r="T4" s="10">
        <v>6</v>
      </c>
      <c r="U4" s="12">
        <v>1</v>
      </c>
      <c r="V4" s="12">
        <v>3</v>
      </c>
      <c r="W4" s="12">
        <v>0.36299999999999999</v>
      </c>
      <c r="X4" s="12">
        <v>0.36299999999999999</v>
      </c>
      <c r="Y4" s="12">
        <f t="shared" si="2"/>
        <v>0</v>
      </c>
      <c r="Z4" s="12">
        <v>4</v>
      </c>
      <c r="AA4" s="12">
        <v>8</v>
      </c>
      <c r="AB4" s="10">
        <v>1</v>
      </c>
      <c r="AC4" s="10">
        <v>3</v>
      </c>
      <c r="AD4" s="10">
        <v>7.1999999999999995E-2</v>
      </c>
      <c r="AE4" s="10">
        <v>7.1999999999999995E-2</v>
      </c>
      <c r="AF4" s="10">
        <f t="shared" si="3"/>
        <v>0</v>
      </c>
      <c r="AG4" s="10">
        <v>3</v>
      </c>
      <c r="AH4" s="10">
        <v>3</v>
      </c>
      <c r="AI4" s="12">
        <v>0</v>
      </c>
      <c r="AJ4" s="12">
        <v>1</v>
      </c>
      <c r="AK4" s="12">
        <f>26/30</f>
        <v>0.8666666666666667</v>
      </c>
      <c r="AL4" s="12">
        <v>0.25</v>
      </c>
      <c r="AM4" s="12">
        <f t="shared" si="4"/>
        <v>0.53991208457911788</v>
      </c>
      <c r="AN4" s="12">
        <v>3</v>
      </c>
      <c r="AO4" s="12">
        <v>1</v>
      </c>
      <c r="AP4" s="10">
        <v>1</v>
      </c>
      <c r="AQ4" s="10">
        <v>3</v>
      </c>
      <c r="AR4" s="10">
        <v>1.2E-2</v>
      </c>
      <c r="AS4" s="10">
        <v>1.2E-2</v>
      </c>
      <c r="AT4" s="10">
        <f t="shared" si="5"/>
        <v>0</v>
      </c>
      <c r="AU4" s="10">
        <v>4</v>
      </c>
      <c r="AV4" s="10">
        <v>10</v>
      </c>
      <c r="AW4" s="12">
        <v>1</v>
      </c>
      <c r="AX4" s="12">
        <v>3</v>
      </c>
      <c r="AY4" s="12">
        <v>0.41499999999999998</v>
      </c>
      <c r="AZ4" s="12">
        <v>0.41499999999999998</v>
      </c>
      <c r="BA4" s="12">
        <f t="shared" si="6"/>
        <v>0</v>
      </c>
      <c r="BB4" s="12">
        <v>4</v>
      </c>
      <c r="BC4" s="12">
        <v>9</v>
      </c>
      <c r="BD4" s="10">
        <v>1</v>
      </c>
      <c r="BE4" s="10">
        <v>3</v>
      </c>
      <c r="BF4" s="10">
        <v>8.4000000000000005E-2</v>
      </c>
      <c r="BG4" s="10">
        <v>8.4000000000000005E-2</v>
      </c>
      <c r="BH4" s="10">
        <f t="shared" si="7"/>
        <v>0</v>
      </c>
      <c r="BI4" s="10">
        <v>3</v>
      </c>
      <c r="BJ4" s="10">
        <v>2</v>
      </c>
      <c r="BK4" s="12">
        <v>1</v>
      </c>
      <c r="BL4" s="12">
        <v>3</v>
      </c>
      <c r="BM4" s="12">
        <v>0.29199999999999998</v>
      </c>
      <c r="BN4" s="12">
        <v>0.29199999999999998</v>
      </c>
      <c r="BO4" s="12">
        <f t="shared" si="8"/>
        <v>0</v>
      </c>
      <c r="BP4" s="12">
        <v>4</v>
      </c>
      <c r="BQ4" s="12">
        <v>4</v>
      </c>
      <c r="BR4" s="10">
        <v>1</v>
      </c>
      <c r="BS4" s="10">
        <v>3</v>
      </c>
      <c r="BT4" s="10">
        <v>7.0000000000000007E-2</v>
      </c>
      <c r="BU4" s="10">
        <v>7.0000000000000007E-2</v>
      </c>
      <c r="BV4" s="10">
        <f t="shared" si="9"/>
        <v>0</v>
      </c>
      <c r="BW4" s="10">
        <v>3</v>
      </c>
      <c r="BX4" s="10">
        <v>7</v>
      </c>
      <c r="BY4" s="12">
        <v>1</v>
      </c>
      <c r="BZ4" s="12">
        <v>3</v>
      </c>
      <c r="CA4" s="12">
        <v>0.32</v>
      </c>
      <c r="CB4" s="12">
        <v>0.32</v>
      </c>
      <c r="CC4" s="12">
        <f t="shared" si="10"/>
        <v>0</v>
      </c>
      <c r="CD4" s="12">
        <v>3</v>
      </c>
      <c r="CE4" s="12">
        <v>5</v>
      </c>
      <c r="CF4" s="32">
        <f t="shared" si="11"/>
        <v>9</v>
      </c>
      <c r="CG4" s="5">
        <f t="shared" si="12"/>
        <v>28</v>
      </c>
      <c r="CH4" s="5">
        <f t="shared" si="13"/>
        <v>5.3991208457911791E-2</v>
      </c>
      <c r="CI4" s="13" t="s">
        <v>61</v>
      </c>
      <c r="CJ4" s="3">
        <v>2</v>
      </c>
      <c r="CK4" s="3">
        <v>2</v>
      </c>
      <c r="CL4" s="3">
        <v>5</v>
      </c>
      <c r="CM4" s="3">
        <v>4</v>
      </c>
      <c r="CN4" s="3">
        <v>3</v>
      </c>
      <c r="CO4" s="8" t="s">
        <v>50</v>
      </c>
      <c r="CP4" s="8" t="s">
        <v>60</v>
      </c>
      <c r="CQ4" s="8" t="s">
        <v>51</v>
      </c>
      <c r="CR4" s="8" t="s">
        <v>52</v>
      </c>
      <c r="CS4" s="3">
        <v>-2</v>
      </c>
      <c r="CT4" s="3">
        <v>-1</v>
      </c>
      <c r="CU4" s="3">
        <v>2</v>
      </c>
      <c r="CV4" s="3">
        <v>1</v>
      </c>
      <c r="CW4" s="3">
        <v>0</v>
      </c>
      <c r="CX4" s="13" t="s">
        <v>337</v>
      </c>
      <c r="CY4" s="3"/>
      <c r="CZ4" s="3"/>
      <c r="DA4" s="3"/>
      <c r="DB4" s="3"/>
      <c r="DC4" s="3"/>
      <c r="DD4" s="3"/>
      <c r="DE4" s="3"/>
      <c r="DF4" s="3"/>
      <c r="DG4" s="3"/>
      <c r="DH4" s="3"/>
      <c r="DI4" s="3"/>
      <c r="DJ4" s="3"/>
      <c r="DK4" s="3"/>
      <c r="DL4" s="3"/>
      <c r="DM4" s="3"/>
      <c r="DN4" s="3"/>
      <c r="DO4" s="3"/>
      <c r="DP4" s="3"/>
      <c r="DQ4" s="3"/>
      <c r="DR4" s="3"/>
      <c r="DS4" s="3"/>
      <c r="DT4" s="3"/>
      <c r="DU4" s="3"/>
      <c r="DV4" s="3"/>
      <c r="DW4" s="3"/>
      <c r="DX4" s="3"/>
      <c r="DY4" s="3"/>
    </row>
    <row r="5" spans="1:129" x14ac:dyDescent="0.25">
      <c r="A5">
        <v>4</v>
      </c>
      <c r="B5">
        <v>2</v>
      </c>
      <c r="C5" s="3" t="s">
        <v>16</v>
      </c>
      <c r="D5" s="3">
        <v>26</v>
      </c>
      <c r="E5" s="3" t="s">
        <v>62</v>
      </c>
      <c r="F5" s="3">
        <v>11</v>
      </c>
      <c r="G5" s="3">
        <v>13</v>
      </c>
      <c r="H5" s="3">
        <v>0</v>
      </c>
      <c r="I5" s="3">
        <v>1</v>
      </c>
      <c r="J5" s="3">
        <f>26/1000</f>
        <v>2.5999999999999999E-2</v>
      </c>
      <c r="K5" s="3">
        <v>0.23</v>
      </c>
      <c r="L5" s="3">
        <f t="shared" si="0"/>
        <v>-0.94675448804677498</v>
      </c>
      <c r="M5" s="3">
        <v>4</v>
      </c>
      <c r="N5" s="10">
        <v>0</v>
      </c>
      <c r="O5" s="10">
        <v>1</v>
      </c>
      <c r="P5" s="10">
        <f>162/1000</f>
        <v>0.16200000000000001</v>
      </c>
      <c r="Q5" s="10">
        <v>0.68600000000000005</v>
      </c>
      <c r="R5" s="10">
        <f>LOG10(AK5/Q5)</f>
        <v>-2.2342641243787895</v>
      </c>
      <c r="S5" s="10">
        <v>4</v>
      </c>
      <c r="T5" s="10">
        <v>6</v>
      </c>
      <c r="U5" s="12">
        <v>1</v>
      </c>
      <c r="V5" s="12">
        <v>3</v>
      </c>
      <c r="W5" s="12">
        <v>8.0000000000000002E-3</v>
      </c>
      <c r="X5" s="12">
        <v>8.0000000000000002E-3</v>
      </c>
      <c r="Y5" s="12">
        <f t="shared" si="2"/>
        <v>0</v>
      </c>
      <c r="Z5" s="12">
        <v>4</v>
      </c>
      <c r="AA5" s="12">
        <v>8</v>
      </c>
      <c r="AB5" s="10">
        <v>0</v>
      </c>
      <c r="AC5" s="10">
        <v>1</v>
      </c>
      <c r="AD5" s="10">
        <f>167/1000</f>
        <v>0.16700000000000001</v>
      </c>
      <c r="AE5" s="10">
        <v>0.64</v>
      </c>
      <c r="AF5" s="10">
        <f t="shared" si="3"/>
        <v>-0.58346350283630388</v>
      </c>
      <c r="AG5" s="10">
        <v>4</v>
      </c>
      <c r="AH5" s="10">
        <v>3</v>
      </c>
      <c r="AI5" s="12">
        <v>0</v>
      </c>
      <c r="AJ5" s="12">
        <v>1</v>
      </c>
      <c r="AK5" s="12">
        <f>4/1000</f>
        <v>4.0000000000000001E-3</v>
      </c>
      <c r="AL5" s="12">
        <v>4.1000000000000003E-3</v>
      </c>
      <c r="AM5" s="12">
        <f>LOG10(AK5/AL5)</f>
        <v>-1.0723865391773113E-2</v>
      </c>
      <c r="AN5" s="12">
        <v>4</v>
      </c>
      <c r="AO5" s="12">
        <v>1</v>
      </c>
      <c r="AP5" s="10">
        <v>1</v>
      </c>
      <c r="AQ5" s="10">
        <v>3</v>
      </c>
      <c r="AR5" s="10">
        <v>0.66300000000000003</v>
      </c>
      <c r="AS5" s="10">
        <v>0.66300000000000003</v>
      </c>
      <c r="AT5" s="10">
        <f t="shared" si="5"/>
        <v>0</v>
      </c>
      <c r="AU5" s="10">
        <v>4</v>
      </c>
      <c r="AV5" s="10">
        <v>10</v>
      </c>
      <c r="AW5" s="12">
        <v>1</v>
      </c>
      <c r="AX5" s="12">
        <v>3</v>
      </c>
      <c r="AY5" s="12">
        <v>7.0000000000000001E-3</v>
      </c>
      <c r="AZ5" s="12">
        <v>7.0000000000000001E-3</v>
      </c>
      <c r="BA5" s="12">
        <f t="shared" si="6"/>
        <v>0</v>
      </c>
      <c r="BB5" s="12">
        <v>4</v>
      </c>
      <c r="BC5" s="12">
        <v>9</v>
      </c>
      <c r="BD5" s="10">
        <v>0</v>
      </c>
      <c r="BE5" s="10">
        <v>1</v>
      </c>
      <c r="BF5" s="10">
        <f>243/1000</f>
        <v>0.24299999999999999</v>
      </c>
      <c r="BG5" s="10">
        <v>0.75900000000000001</v>
      </c>
      <c r="BH5" s="10">
        <f t="shared" si="7"/>
        <v>-0.49463550229716818</v>
      </c>
      <c r="BI5" s="10">
        <v>4</v>
      </c>
      <c r="BJ5" s="10">
        <v>2</v>
      </c>
      <c r="BK5" s="12">
        <v>0</v>
      </c>
      <c r="BL5" s="12">
        <v>1</v>
      </c>
      <c r="BM5" s="12">
        <f>2/1000</f>
        <v>2E-3</v>
      </c>
      <c r="BN5" s="12">
        <v>2.2000000000000001E-3</v>
      </c>
      <c r="BO5" s="12">
        <f t="shared" si="8"/>
        <v>-4.1392685158225057E-2</v>
      </c>
      <c r="BP5" s="12">
        <v>0</v>
      </c>
      <c r="BQ5" s="12">
        <v>4</v>
      </c>
      <c r="BR5" s="10">
        <v>1</v>
      </c>
      <c r="BS5" s="10">
        <v>3</v>
      </c>
      <c r="BT5" s="10">
        <v>0.73</v>
      </c>
      <c r="BU5" s="10">
        <v>0.73</v>
      </c>
      <c r="BV5" s="10">
        <f t="shared" si="9"/>
        <v>0</v>
      </c>
      <c r="BW5" s="10">
        <v>3</v>
      </c>
      <c r="BX5" s="10">
        <v>7</v>
      </c>
      <c r="BY5" s="12">
        <v>0</v>
      </c>
      <c r="BZ5" s="12">
        <v>1</v>
      </c>
      <c r="CA5" s="12">
        <f>8/1000</f>
        <v>8.0000000000000002E-3</v>
      </c>
      <c r="CB5" s="12">
        <v>8.9999999999999993E-3</v>
      </c>
      <c r="CC5" s="12">
        <f t="shared" si="10"/>
        <v>-5.1152522447381256E-2</v>
      </c>
      <c r="CD5" s="12">
        <v>4</v>
      </c>
      <c r="CE5" s="12">
        <v>5</v>
      </c>
      <c r="CF5" s="32">
        <f t="shared" si="11"/>
        <v>4</v>
      </c>
      <c r="CG5" s="5">
        <f t="shared" si="12"/>
        <v>18</v>
      </c>
      <c r="CH5" s="5">
        <f t="shared" si="13"/>
        <v>-0.34156322025096408</v>
      </c>
      <c r="CI5" s="13" t="s">
        <v>61</v>
      </c>
      <c r="CJ5" s="3">
        <v>2</v>
      </c>
      <c r="CK5" s="3">
        <v>1</v>
      </c>
      <c r="CL5" s="3">
        <v>5</v>
      </c>
      <c r="CM5" s="3">
        <v>4</v>
      </c>
      <c r="CN5" s="3">
        <v>4</v>
      </c>
      <c r="CO5" s="8" t="s">
        <v>50</v>
      </c>
      <c r="CP5" s="8" t="s">
        <v>60</v>
      </c>
      <c r="CQ5" s="8" t="s">
        <v>52</v>
      </c>
      <c r="CR5" s="8" t="s">
        <v>51</v>
      </c>
      <c r="CS5" s="3">
        <v>-1</v>
      </c>
      <c r="CT5" s="3">
        <v>-2</v>
      </c>
      <c r="CU5" s="3">
        <v>2</v>
      </c>
      <c r="CV5" s="3">
        <v>1</v>
      </c>
      <c r="CW5" s="3">
        <v>0</v>
      </c>
      <c r="CX5" s="13" t="s">
        <v>334</v>
      </c>
      <c r="CY5" s="3"/>
      <c r="CZ5" s="3"/>
      <c r="DA5" s="3"/>
      <c r="DB5" s="3"/>
      <c r="DC5" s="3"/>
      <c r="DD5" s="3"/>
      <c r="DE5" s="3"/>
      <c r="DF5" s="3"/>
      <c r="DG5" s="3"/>
      <c r="DH5" s="3"/>
      <c r="DI5" s="3"/>
      <c r="DJ5" s="3"/>
      <c r="DK5" s="3"/>
      <c r="DL5" s="3"/>
      <c r="DM5" s="3"/>
      <c r="DN5" s="3"/>
      <c r="DO5" s="3"/>
      <c r="DP5" s="3"/>
      <c r="DQ5" s="3"/>
      <c r="DR5" s="3"/>
      <c r="DS5" s="3"/>
      <c r="DT5" s="3"/>
      <c r="DU5" s="3"/>
      <c r="DV5" s="3"/>
      <c r="DW5" s="3"/>
      <c r="DX5" s="3"/>
      <c r="DY5" s="3"/>
    </row>
    <row r="6" spans="1:129" x14ac:dyDescent="0.25">
      <c r="A6">
        <v>5</v>
      </c>
      <c r="B6">
        <v>1</v>
      </c>
      <c r="C6" s="3" t="s">
        <v>16</v>
      </c>
      <c r="D6" s="3">
        <v>40</v>
      </c>
      <c r="E6" s="3" t="s">
        <v>15</v>
      </c>
      <c r="F6" s="32">
        <v>6</v>
      </c>
      <c r="G6" s="3">
        <v>12</v>
      </c>
      <c r="H6" s="3">
        <v>0</v>
      </c>
      <c r="I6" s="3">
        <v>1</v>
      </c>
      <c r="J6" s="3">
        <f>26/30</f>
        <v>0.8666666666666667</v>
      </c>
      <c r="K6" s="3">
        <v>0.23</v>
      </c>
      <c r="L6" s="3">
        <f t="shared" si="0"/>
        <v>0.57612425723356264</v>
      </c>
      <c r="M6" s="3">
        <v>4</v>
      </c>
      <c r="N6" s="10">
        <v>0</v>
      </c>
      <c r="O6" s="10">
        <v>1</v>
      </c>
      <c r="P6" s="10">
        <f>28/746</f>
        <v>3.7533512064343161E-2</v>
      </c>
      <c r="Q6" s="10">
        <v>2.4E-2</v>
      </c>
      <c r="R6" s="10">
        <f t="shared" si="1"/>
        <v>0.19420796215794436</v>
      </c>
      <c r="S6" s="10">
        <v>4</v>
      </c>
      <c r="T6" s="10">
        <v>4</v>
      </c>
      <c r="U6" s="12">
        <v>1</v>
      </c>
      <c r="V6" s="12">
        <v>3</v>
      </c>
      <c r="W6" s="12">
        <v>0.36299999999999999</v>
      </c>
      <c r="X6" s="12">
        <v>0.36299999999999999</v>
      </c>
      <c r="Y6" s="12">
        <f t="shared" si="2"/>
        <v>0</v>
      </c>
      <c r="Z6" s="12">
        <v>4</v>
      </c>
      <c r="AA6" s="12">
        <v>6</v>
      </c>
      <c r="AB6" s="10">
        <v>0</v>
      </c>
      <c r="AC6" s="10">
        <v>1</v>
      </c>
      <c r="AD6" s="10">
        <f>53/686</f>
        <v>7.7259475218658891E-2</v>
      </c>
      <c r="AE6" s="10">
        <v>7.1999999999999995E-2</v>
      </c>
      <c r="AF6" s="10">
        <f t="shared" si="3"/>
        <v>3.0619257462768966E-2</v>
      </c>
      <c r="AG6" s="10">
        <v>4</v>
      </c>
      <c r="AH6" s="10">
        <v>5</v>
      </c>
      <c r="AI6" s="12">
        <v>0</v>
      </c>
      <c r="AJ6" s="12">
        <v>1</v>
      </c>
      <c r="AK6" s="12">
        <f>26/78</f>
        <v>0.33333333333333331</v>
      </c>
      <c r="AL6" s="12">
        <v>0.25</v>
      </c>
      <c r="AM6" s="12">
        <f t="shared" si="4"/>
        <v>0.12493873660829993</v>
      </c>
      <c r="AN6" s="12">
        <v>4</v>
      </c>
      <c r="AO6" s="12">
        <v>3</v>
      </c>
      <c r="AP6" s="10">
        <v>1</v>
      </c>
      <c r="AQ6" s="10">
        <v>3</v>
      </c>
      <c r="AR6" s="10">
        <v>1.2E-2</v>
      </c>
      <c r="AS6" s="10">
        <v>1.2E-2</v>
      </c>
      <c r="AT6" s="10">
        <f t="shared" si="5"/>
        <v>0</v>
      </c>
      <c r="AU6" s="10">
        <v>4</v>
      </c>
      <c r="AV6" s="10">
        <v>8</v>
      </c>
      <c r="AW6" s="12">
        <v>1</v>
      </c>
      <c r="AX6" s="12">
        <v>3</v>
      </c>
      <c r="AY6" s="12">
        <v>0.41499999999999998</v>
      </c>
      <c r="AZ6" s="12">
        <v>0.41499999999999998</v>
      </c>
      <c r="BA6" s="12">
        <f t="shared" si="6"/>
        <v>0</v>
      </c>
      <c r="BB6" s="12">
        <v>4</v>
      </c>
      <c r="BC6" s="12">
        <v>10</v>
      </c>
      <c r="BD6" s="10">
        <v>1</v>
      </c>
      <c r="BE6" s="10">
        <v>3</v>
      </c>
      <c r="BF6" s="10">
        <v>8.4000000000000005E-2</v>
      </c>
      <c r="BG6" s="10">
        <v>8.4000000000000005E-2</v>
      </c>
      <c r="BH6" s="10">
        <f t="shared" si="7"/>
        <v>0</v>
      </c>
      <c r="BI6" s="10">
        <v>4</v>
      </c>
      <c r="BJ6" s="10">
        <v>1</v>
      </c>
      <c r="BK6" s="12">
        <v>1</v>
      </c>
      <c r="BL6" s="12">
        <v>3</v>
      </c>
      <c r="BM6" s="12">
        <v>0.29199999999999998</v>
      </c>
      <c r="BN6" s="12">
        <v>0.29199999999999998</v>
      </c>
      <c r="BO6" s="12">
        <f t="shared" si="8"/>
        <v>0</v>
      </c>
      <c r="BP6" s="12">
        <v>4</v>
      </c>
      <c r="BQ6" s="12">
        <v>2</v>
      </c>
      <c r="BR6" s="10">
        <v>0</v>
      </c>
      <c r="BS6" s="10">
        <v>1</v>
      </c>
      <c r="BT6" s="10">
        <f>48/280</f>
        <v>0.17142857142857143</v>
      </c>
      <c r="BU6" s="10">
        <v>7.0000000000000007E-2</v>
      </c>
      <c r="BV6" s="10">
        <f t="shared" si="9"/>
        <v>0.38898516601911109</v>
      </c>
      <c r="BW6" s="10">
        <v>4</v>
      </c>
      <c r="BX6" s="10">
        <v>9</v>
      </c>
      <c r="BY6" s="12">
        <v>1</v>
      </c>
      <c r="BZ6" s="12">
        <v>3</v>
      </c>
      <c r="CA6" s="12">
        <v>0.32</v>
      </c>
      <c r="CB6" s="12">
        <v>0.32</v>
      </c>
      <c r="CC6" s="12">
        <f t="shared" si="10"/>
        <v>0</v>
      </c>
      <c r="CD6" s="12">
        <v>4</v>
      </c>
      <c r="CE6" s="12">
        <v>7</v>
      </c>
      <c r="CF6" s="32">
        <f t="shared" si="11"/>
        <v>6</v>
      </c>
      <c r="CG6" s="5">
        <f t="shared" si="12"/>
        <v>22</v>
      </c>
      <c r="CH6" s="5">
        <f t="shared" si="13"/>
        <v>7.3875112224812439E-2</v>
      </c>
      <c r="CI6" s="13" t="s">
        <v>63</v>
      </c>
      <c r="CJ6" s="3">
        <v>2</v>
      </c>
      <c r="CK6" s="3">
        <v>1</v>
      </c>
      <c r="CL6" s="3">
        <v>5</v>
      </c>
      <c r="CM6" s="3">
        <v>3</v>
      </c>
      <c r="CN6" s="3">
        <v>4</v>
      </c>
      <c r="CO6" s="8" t="s">
        <v>50</v>
      </c>
      <c r="CP6" s="8" t="s">
        <v>49</v>
      </c>
      <c r="CQ6" s="8" t="s">
        <v>52</v>
      </c>
      <c r="CR6" s="8" t="s">
        <v>51</v>
      </c>
      <c r="CS6" s="3">
        <v>-1</v>
      </c>
      <c r="CT6" s="3">
        <v>-2</v>
      </c>
      <c r="CU6" s="3">
        <v>2</v>
      </c>
      <c r="CV6" s="3">
        <v>0</v>
      </c>
      <c r="CW6" s="3">
        <v>1</v>
      </c>
      <c r="CX6" s="13" t="s">
        <v>64</v>
      </c>
      <c r="CY6" s="3"/>
      <c r="CZ6" s="3"/>
      <c r="DA6" s="3"/>
      <c r="DB6" s="3"/>
      <c r="DC6" s="3"/>
      <c r="DD6" s="3"/>
      <c r="DE6" s="3"/>
      <c r="DF6" s="3"/>
      <c r="DG6" s="3"/>
      <c r="DH6" s="3"/>
      <c r="DI6" s="3"/>
      <c r="DJ6" s="3"/>
      <c r="DK6" s="3"/>
      <c r="DL6" s="3"/>
      <c r="DM6" s="3"/>
      <c r="DN6" s="3"/>
      <c r="DO6" s="3"/>
      <c r="DP6" s="3"/>
      <c r="DQ6" s="3"/>
      <c r="DR6" s="3"/>
      <c r="DS6" s="3"/>
      <c r="DT6" s="3"/>
      <c r="DU6" s="3"/>
      <c r="DV6" s="3"/>
      <c r="DW6" s="3"/>
      <c r="DX6" s="3"/>
      <c r="DY6" s="3"/>
    </row>
    <row r="7" spans="1:129" x14ac:dyDescent="0.25">
      <c r="A7">
        <v>6</v>
      </c>
      <c r="B7">
        <v>2</v>
      </c>
      <c r="C7" s="3" t="s">
        <v>16</v>
      </c>
      <c r="D7" s="3">
        <v>33</v>
      </c>
      <c r="E7" s="3" t="s">
        <v>65</v>
      </c>
      <c r="F7" s="3">
        <v>10</v>
      </c>
      <c r="G7" s="3">
        <v>12</v>
      </c>
      <c r="H7" s="3">
        <v>0</v>
      </c>
      <c r="I7" s="3">
        <v>0</v>
      </c>
      <c r="J7" s="3">
        <v>0.113</v>
      </c>
      <c r="K7" s="3">
        <v>0.23</v>
      </c>
      <c r="L7" s="3">
        <f t="shared" si="0"/>
        <v>-0.30864939253417317</v>
      </c>
      <c r="M7" s="3">
        <v>4</v>
      </c>
      <c r="N7" s="10">
        <v>1</v>
      </c>
      <c r="O7" s="10">
        <v>3</v>
      </c>
      <c r="P7" s="10">
        <v>0.68600000000000005</v>
      </c>
      <c r="Q7" s="10">
        <v>0.68600000000000005</v>
      </c>
      <c r="R7" s="10">
        <f t="shared" si="1"/>
        <v>0</v>
      </c>
      <c r="S7" s="10">
        <v>3</v>
      </c>
      <c r="T7" s="10">
        <v>4</v>
      </c>
      <c r="U7" s="12">
        <v>0</v>
      </c>
      <c r="V7" s="12">
        <v>2</v>
      </c>
      <c r="W7" s="12">
        <f>7/902</f>
        <v>7.7605321507760536E-3</v>
      </c>
      <c r="X7" s="12">
        <v>8.0000000000000002E-3</v>
      </c>
      <c r="Y7" s="12">
        <f t="shared" si="2"/>
        <v>-1.3198484519628476E-2</v>
      </c>
      <c r="Z7" s="12">
        <v>3</v>
      </c>
      <c r="AA7" s="12">
        <v>6</v>
      </c>
      <c r="AB7" s="10">
        <v>1</v>
      </c>
      <c r="AC7" s="10">
        <v>3</v>
      </c>
      <c r="AD7" s="10">
        <v>0.64</v>
      </c>
      <c r="AE7" s="10">
        <v>0.64</v>
      </c>
      <c r="AF7" s="10">
        <f t="shared" si="3"/>
        <v>0</v>
      </c>
      <c r="AG7" s="10">
        <v>4</v>
      </c>
      <c r="AH7" s="10">
        <v>5</v>
      </c>
      <c r="AI7" s="12">
        <v>0</v>
      </c>
      <c r="AJ7" s="12">
        <v>1</v>
      </c>
      <c r="AK7" s="12">
        <f>4/30</f>
        <v>0.13333333333333333</v>
      </c>
      <c r="AL7" s="12">
        <v>4.1000000000000003E-3</v>
      </c>
      <c r="AM7" s="12">
        <f t="shared" si="4"/>
        <v>1.5121548798885645</v>
      </c>
      <c r="AN7" s="12">
        <v>2</v>
      </c>
      <c r="AO7" s="12">
        <v>3</v>
      </c>
      <c r="AP7" s="10">
        <v>0</v>
      </c>
      <c r="AQ7" s="10">
        <v>1</v>
      </c>
      <c r="AR7" s="10">
        <f>202/210</f>
        <v>0.96190476190476193</v>
      </c>
      <c r="AS7" s="10">
        <v>0.66300000000000003</v>
      </c>
      <c r="AT7" s="10">
        <f t="shared" si="5"/>
        <v>0.16161854630793135</v>
      </c>
      <c r="AU7" s="10">
        <v>3</v>
      </c>
      <c r="AV7" s="10">
        <v>8</v>
      </c>
      <c r="AW7" s="12">
        <v>0</v>
      </c>
      <c r="AX7" s="12">
        <v>1</v>
      </c>
      <c r="AY7" s="12">
        <f>6/40</f>
        <v>0.15</v>
      </c>
      <c r="AZ7" s="12">
        <v>7.0000000000000001E-3</v>
      </c>
      <c r="BA7" s="12">
        <f t="shared" si="6"/>
        <v>1.3309932190414244</v>
      </c>
      <c r="BB7" s="12">
        <v>3</v>
      </c>
      <c r="BC7" s="12">
        <v>10</v>
      </c>
      <c r="BD7" s="10">
        <v>0</v>
      </c>
      <c r="BE7" s="10">
        <v>0</v>
      </c>
      <c r="BF7" s="10">
        <v>0.32</v>
      </c>
      <c r="BG7" s="10">
        <v>0.75900000000000001</v>
      </c>
      <c r="BH7" s="10">
        <f t="shared" si="7"/>
        <v>-0.37509179757557437</v>
      </c>
      <c r="BI7" s="10">
        <v>2</v>
      </c>
      <c r="BJ7" s="10">
        <v>1</v>
      </c>
      <c r="BK7" s="12">
        <v>0</v>
      </c>
      <c r="BL7" s="12">
        <v>1</v>
      </c>
      <c r="BM7" s="12">
        <v>2E-3</v>
      </c>
      <c r="BN7" s="12">
        <v>2.2000000000000001E-3</v>
      </c>
      <c r="BO7" s="12">
        <f t="shared" si="8"/>
        <v>-4.1392685158225057E-2</v>
      </c>
      <c r="BP7" s="12">
        <v>4</v>
      </c>
      <c r="BQ7" s="12">
        <v>2</v>
      </c>
      <c r="BR7" s="10">
        <v>0</v>
      </c>
      <c r="BS7" s="10">
        <v>1</v>
      </c>
      <c r="BT7" s="10">
        <f>232/280</f>
        <v>0.82857142857142863</v>
      </c>
      <c r="BU7" s="10">
        <v>0.73</v>
      </c>
      <c r="BV7" s="10">
        <f t="shared" si="9"/>
        <v>5.5007093428224609E-2</v>
      </c>
      <c r="BW7" s="10">
        <v>3</v>
      </c>
      <c r="BX7" s="10">
        <v>9</v>
      </c>
      <c r="BY7" s="12">
        <v>0</v>
      </c>
      <c r="BZ7" s="12">
        <v>1</v>
      </c>
      <c r="CA7" s="12">
        <f>8/75</f>
        <v>0.10666666666666667</v>
      </c>
      <c r="CB7" s="12">
        <v>8.9999999999999993E-3</v>
      </c>
      <c r="CC7" s="12">
        <f t="shared" si="10"/>
        <v>1.0737862141609187</v>
      </c>
      <c r="CD7" s="12">
        <v>3</v>
      </c>
      <c r="CE7" s="12">
        <v>7</v>
      </c>
      <c r="CF7" s="32">
        <f t="shared" si="11"/>
        <v>2</v>
      </c>
      <c r="CG7" s="5">
        <f t="shared" si="12"/>
        <v>14</v>
      </c>
      <c r="CH7" s="5">
        <f t="shared" si="13"/>
        <v>0.37038769855736364</v>
      </c>
      <c r="CI7" s="13" t="s">
        <v>63</v>
      </c>
      <c r="CJ7" s="3">
        <v>1</v>
      </c>
      <c r="CK7" s="3">
        <v>2</v>
      </c>
      <c r="CL7" s="3">
        <v>5</v>
      </c>
      <c r="CM7" s="3">
        <v>3</v>
      </c>
      <c r="CN7" s="3">
        <v>4</v>
      </c>
      <c r="CO7" s="8" t="s">
        <v>50</v>
      </c>
      <c r="CP7" s="8" t="s">
        <v>49</v>
      </c>
      <c r="CQ7" s="8" t="s">
        <v>52</v>
      </c>
      <c r="CR7" s="8" t="s">
        <v>51</v>
      </c>
      <c r="CS7" s="3">
        <v>-1</v>
      </c>
      <c r="CT7" s="3">
        <v>-2</v>
      </c>
      <c r="CU7" s="3">
        <v>2</v>
      </c>
      <c r="CV7" s="3">
        <v>0</v>
      </c>
      <c r="CW7" s="3">
        <v>1</v>
      </c>
      <c r="CX7" s="13" t="s">
        <v>66</v>
      </c>
      <c r="CY7" s="3"/>
      <c r="CZ7" s="3"/>
      <c r="DA7" s="3"/>
      <c r="DB7" s="3"/>
      <c r="DC7" s="3"/>
      <c r="DD7" s="3"/>
      <c r="DE7" s="3"/>
      <c r="DF7" s="3"/>
      <c r="DG7" s="3"/>
      <c r="DH7" s="3"/>
      <c r="DI7" s="3"/>
      <c r="DJ7" s="3"/>
      <c r="DK7" s="3"/>
      <c r="DL7" s="3"/>
      <c r="DM7" s="3"/>
      <c r="DN7" s="3"/>
      <c r="DO7" s="3"/>
      <c r="DP7" s="3"/>
      <c r="DQ7" s="3"/>
      <c r="DR7" s="3"/>
      <c r="DS7" s="3"/>
      <c r="DT7" s="3"/>
      <c r="DU7" s="3"/>
      <c r="DV7" s="3"/>
      <c r="DW7" s="3"/>
      <c r="DX7" s="3"/>
      <c r="DY7" s="3"/>
    </row>
    <row r="8" spans="1:129" x14ac:dyDescent="0.25">
      <c r="A8">
        <v>7</v>
      </c>
      <c r="B8">
        <v>1</v>
      </c>
      <c r="C8" s="3" t="s">
        <v>16</v>
      </c>
      <c r="D8" s="3">
        <v>23</v>
      </c>
      <c r="E8" s="3" t="s">
        <v>15</v>
      </c>
      <c r="F8" s="3">
        <v>11</v>
      </c>
      <c r="G8" s="3">
        <v>11</v>
      </c>
      <c r="H8" s="3">
        <v>0</v>
      </c>
      <c r="I8" s="3">
        <v>1</v>
      </c>
      <c r="J8" s="3">
        <f>(87+26)/1000</f>
        <v>0.113</v>
      </c>
      <c r="K8" s="3">
        <v>0.23</v>
      </c>
      <c r="L8" s="3">
        <f t="shared" si="0"/>
        <v>-0.30864939253417317</v>
      </c>
      <c r="M8" s="3">
        <v>3</v>
      </c>
      <c r="N8" s="10">
        <v>0</v>
      </c>
      <c r="O8" s="10">
        <v>1</v>
      </c>
      <c r="P8" s="10">
        <v>1.7999999999999999E-2</v>
      </c>
      <c r="Q8" s="10">
        <v>2.4E-2</v>
      </c>
      <c r="R8" s="10">
        <f t="shared" si="1"/>
        <v>-0.12493873660830002</v>
      </c>
      <c r="S8" s="10">
        <v>3</v>
      </c>
      <c r="T8" s="10">
        <v>1</v>
      </c>
      <c r="U8" s="12">
        <v>0</v>
      </c>
      <c r="V8" s="12">
        <v>0</v>
      </c>
      <c r="W8" s="12">
        <f>(33+58)/10000</f>
        <v>9.1000000000000004E-3</v>
      </c>
      <c r="X8" s="12">
        <v>0.36299999999999999</v>
      </c>
      <c r="Y8" s="12">
        <f t="shared" si="2"/>
        <v>-1.6008652327150188</v>
      </c>
      <c r="Z8" s="12">
        <v>3</v>
      </c>
      <c r="AA8" s="12">
        <v>2</v>
      </c>
      <c r="AB8" s="10">
        <v>0</v>
      </c>
      <c r="AC8" s="10">
        <v>1</v>
      </c>
      <c r="AD8" s="10">
        <f>53/1000</f>
        <v>5.2999999999999999E-2</v>
      </c>
      <c r="AE8" s="10">
        <v>7.1999999999999995E-2</v>
      </c>
      <c r="AF8" s="10">
        <f t="shared" si="3"/>
        <v>-0.13305662683047939</v>
      </c>
      <c r="AG8" s="10">
        <v>3</v>
      </c>
      <c r="AH8" s="10">
        <v>9</v>
      </c>
      <c r="AI8" s="12">
        <v>0</v>
      </c>
      <c r="AJ8" s="12">
        <v>1</v>
      </c>
      <c r="AK8" s="12">
        <f>26/1000</f>
        <v>2.5999999999999999E-2</v>
      </c>
      <c r="AL8" s="12">
        <v>0.25</v>
      </c>
      <c r="AM8" s="12">
        <f t="shared" si="4"/>
        <v>-0.98296666070121963</v>
      </c>
      <c r="AN8" s="12">
        <v>4</v>
      </c>
      <c r="AO8" s="12">
        <v>7</v>
      </c>
      <c r="AP8" s="10">
        <v>0</v>
      </c>
      <c r="AQ8" s="10">
        <v>1</v>
      </c>
      <c r="AR8" s="10">
        <f>8/1000</f>
        <v>8.0000000000000002E-3</v>
      </c>
      <c r="AS8" s="10">
        <v>1.2E-2</v>
      </c>
      <c r="AT8" s="10">
        <f t="shared" si="5"/>
        <v>-0.17609125905568127</v>
      </c>
      <c r="AU8" s="10">
        <v>3</v>
      </c>
      <c r="AV8" s="10">
        <v>4</v>
      </c>
      <c r="AW8" s="12">
        <v>0</v>
      </c>
      <c r="AX8" s="12">
        <v>0</v>
      </c>
      <c r="AY8" s="12">
        <f>30/1000</f>
        <v>0.03</v>
      </c>
      <c r="AZ8" s="12">
        <v>0.41499999999999998</v>
      </c>
      <c r="BA8" s="12">
        <f t="shared" si="6"/>
        <v>-1.1409268419924303</v>
      </c>
      <c r="BB8" s="12">
        <v>3</v>
      </c>
      <c r="BC8" s="12">
        <v>6</v>
      </c>
      <c r="BD8" s="10">
        <v>0</v>
      </c>
      <c r="BE8" s="10">
        <v>1</v>
      </c>
      <c r="BF8" s="10">
        <f>57/1000</f>
        <v>5.7000000000000002E-2</v>
      </c>
      <c r="BG8" s="10">
        <v>8.4000000000000005E-2</v>
      </c>
      <c r="BH8" s="10">
        <f t="shared" si="7"/>
        <v>-0.16840443038939024</v>
      </c>
      <c r="BI8" s="10">
        <v>3</v>
      </c>
      <c r="BJ8" s="10">
        <v>5</v>
      </c>
      <c r="BK8" s="12">
        <v>0</v>
      </c>
      <c r="BL8" s="12">
        <v>1</v>
      </c>
      <c r="BM8" s="12">
        <f>28/1000</f>
        <v>2.8000000000000001E-2</v>
      </c>
      <c r="BN8" s="12">
        <v>0.29199999999999998</v>
      </c>
      <c r="BO8" s="12">
        <f t="shared" si="8"/>
        <v>-1.018224820106199</v>
      </c>
      <c r="BP8" s="12">
        <v>3</v>
      </c>
      <c r="BQ8" s="12">
        <v>3</v>
      </c>
      <c r="BR8" s="10">
        <v>0</v>
      </c>
      <c r="BS8" s="10">
        <v>1</v>
      </c>
      <c r="BT8" s="10">
        <f>48/1000</f>
        <v>4.8000000000000001E-2</v>
      </c>
      <c r="BU8" s="10">
        <v>7.0000000000000007E-2</v>
      </c>
      <c r="BV8" s="10">
        <f t="shared" si="9"/>
        <v>-0.16385680263866967</v>
      </c>
      <c r="BW8" s="10">
        <v>3</v>
      </c>
      <c r="BX8" s="10">
        <v>8</v>
      </c>
      <c r="BY8" s="12">
        <v>0</v>
      </c>
      <c r="BZ8" s="12">
        <v>1</v>
      </c>
      <c r="CA8" s="12">
        <f>32/1000</f>
        <v>3.2000000000000001E-2</v>
      </c>
      <c r="CB8" s="12">
        <v>0.32</v>
      </c>
      <c r="CC8" s="12">
        <f t="shared" si="10"/>
        <v>-1</v>
      </c>
      <c r="CD8" s="12">
        <v>3</v>
      </c>
      <c r="CE8" s="12">
        <v>10</v>
      </c>
      <c r="CF8" s="4">
        <f t="shared" si="11"/>
        <v>0</v>
      </c>
      <c r="CG8" s="5">
        <f t="shared" si="12"/>
        <v>8</v>
      </c>
      <c r="CH8" s="5">
        <f t="shared" si="13"/>
        <v>-0.6509331411037389</v>
      </c>
      <c r="CI8" s="13" t="s">
        <v>68</v>
      </c>
      <c r="CJ8" s="3">
        <v>2</v>
      </c>
      <c r="CK8" s="3">
        <v>4</v>
      </c>
      <c r="CL8" s="3">
        <v>5</v>
      </c>
      <c r="CM8" s="3">
        <v>5</v>
      </c>
      <c r="CN8" s="3">
        <v>4</v>
      </c>
      <c r="CO8" s="8" t="s">
        <v>60</v>
      </c>
      <c r="CP8" s="8" t="s">
        <v>50</v>
      </c>
      <c r="CQ8" s="8" t="s">
        <v>51</v>
      </c>
      <c r="CR8" s="8" t="s">
        <v>52</v>
      </c>
      <c r="CS8" s="3">
        <v>-2</v>
      </c>
      <c r="CT8" s="3">
        <v>-1</v>
      </c>
      <c r="CU8" s="3">
        <v>1</v>
      </c>
      <c r="CV8" s="3">
        <v>2</v>
      </c>
      <c r="CW8" s="3">
        <v>0</v>
      </c>
      <c r="CX8" s="13" t="s">
        <v>69</v>
      </c>
      <c r="CY8" s="3"/>
      <c r="CZ8" s="3"/>
      <c r="DA8" s="3"/>
      <c r="DB8" s="3"/>
      <c r="DC8" s="3"/>
      <c r="DD8" s="3"/>
      <c r="DE8" s="3"/>
      <c r="DF8" s="3"/>
      <c r="DG8" s="3"/>
      <c r="DH8" s="3"/>
      <c r="DI8" s="3"/>
      <c r="DJ8" s="3"/>
      <c r="DK8" s="3"/>
      <c r="DL8" s="3"/>
      <c r="DM8" s="3"/>
      <c r="DN8" s="3"/>
      <c r="DO8" s="3"/>
      <c r="DP8" s="3"/>
      <c r="DQ8" s="3"/>
      <c r="DR8" s="3"/>
      <c r="DS8" s="3"/>
      <c r="DT8" s="3"/>
      <c r="DU8" s="3"/>
      <c r="DV8" s="3"/>
      <c r="DW8" s="3"/>
      <c r="DX8" s="3"/>
      <c r="DY8" s="3"/>
    </row>
    <row r="9" spans="1:129" x14ac:dyDescent="0.25">
      <c r="A9">
        <v>8</v>
      </c>
      <c r="B9">
        <v>1</v>
      </c>
      <c r="C9" s="3" t="s">
        <v>16</v>
      </c>
      <c r="D9" s="3">
        <v>28</v>
      </c>
      <c r="E9" s="3" t="s">
        <v>70</v>
      </c>
      <c r="F9" s="3">
        <v>11</v>
      </c>
      <c r="G9" s="3">
        <v>11</v>
      </c>
      <c r="H9" s="3">
        <v>0</v>
      </c>
      <c r="I9" s="3">
        <v>0</v>
      </c>
      <c r="J9" s="3">
        <f>(87+26)/1000</f>
        <v>0.113</v>
      </c>
      <c r="K9" s="3">
        <v>0.23</v>
      </c>
      <c r="L9" s="3">
        <f t="shared" si="0"/>
        <v>-0.30864939253417317</v>
      </c>
      <c r="M9" s="3">
        <v>3</v>
      </c>
      <c r="N9" s="10">
        <v>1</v>
      </c>
      <c r="O9" s="10">
        <v>3</v>
      </c>
      <c r="P9" s="10">
        <v>2.4E-2</v>
      </c>
      <c r="Q9" s="10">
        <v>2.4E-2</v>
      </c>
      <c r="R9" s="10">
        <f t="shared" si="1"/>
        <v>0</v>
      </c>
      <c r="S9" s="10">
        <v>4</v>
      </c>
      <c r="T9" s="10">
        <v>2</v>
      </c>
      <c r="U9" s="12">
        <v>1</v>
      </c>
      <c r="V9" s="12">
        <v>3</v>
      </c>
      <c r="W9" s="12">
        <v>0.36299999999999999</v>
      </c>
      <c r="X9" s="12">
        <v>0.36299999999999999</v>
      </c>
      <c r="Y9" s="12">
        <f t="shared" si="2"/>
        <v>0</v>
      </c>
      <c r="Z9" s="12">
        <v>3</v>
      </c>
      <c r="AA9" s="12">
        <v>4</v>
      </c>
      <c r="AB9" s="10">
        <v>1</v>
      </c>
      <c r="AC9" s="10">
        <v>3</v>
      </c>
      <c r="AD9" s="10">
        <v>7.1999999999999995E-2</v>
      </c>
      <c r="AE9" s="10">
        <v>7.1999999999999995E-2</v>
      </c>
      <c r="AF9" s="10">
        <f t="shared" si="3"/>
        <v>0</v>
      </c>
      <c r="AG9" s="10">
        <v>4</v>
      </c>
      <c r="AH9" s="10">
        <v>7</v>
      </c>
      <c r="AI9" s="12">
        <v>1</v>
      </c>
      <c r="AJ9" s="12">
        <v>3</v>
      </c>
      <c r="AK9" s="12">
        <f>26/104</f>
        <v>0.25</v>
      </c>
      <c r="AL9" s="12">
        <v>0.25</v>
      </c>
      <c r="AM9" s="12">
        <f t="shared" si="4"/>
        <v>0</v>
      </c>
      <c r="AN9" s="12">
        <v>4</v>
      </c>
      <c r="AO9" s="12">
        <v>5</v>
      </c>
      <c r="AP9" s="10">
        <v>1</v>
      </c>
      <c r="AQ9" s="10">
        <v>3</v>
      </c>
      <c r="AR9" s="10">
        <v>1.2E-2</v>
      </c>
      <c r="AS9" s="10">
        <v>1.2E-2</v>
      </c>
      <c r="AT9" s="10">
        <f t="shared" si="5"/>
        <v>0</v>
      </c>
      <c r="AU9" s="10">
        <v>4</v>
      </c>
      <c r="AV9" s="10">
        <v>6</v>
      </c>
      <c r="AW9" s="12">
        <v>1</v>
      </c>
      <c r="AX9" s="12">
        <v>3</v>
      </c>
      <c r="AY9" s="12">
        <v>0.41499999999999998</v>
      </c>
      <c r="AZ9" s="12">
        <v>0.41499999999999998</v>
      </c>
      <c r="BA9" s="12">
        <f t="shared" si="6"/>
        <v>0</v>
      </c>
      <c r="BB9" s="12">
        <v>4</v>
      </c>
      <c r="BC9" s="12">
        <v>8</v>
      </c>
      <c r="BD9" s="10">
        <v>1</v>
      </c>
      <c r="BE9" s="10">
        <v>3</v>
      </c>
      <c r="BF9" s="10">
        <v>8.4000000000000005E-2</v>
      </c>
      <c r="BG9" s="10">
        <v>8.4000000000000005E-2</v>
      </c>
      <c r="BH9" s="10">
        <f t="shared" si="7"/>
        <v>0</v>
      </c>
      <c r="BI9" s="10">
        <v>4</v>
      </c>
      <c r="BJ9" s="10">
        <v>3</v>
      </c>
      <c r="BK9" s="12">
        <v>1</v>
      </c>
      <c r="BL9" s="12">
        <v>3</v>
      </c>
      <c r="BM9" s="12">
        <v>0.29199999999999998</v>
      </c>
      <c r="BN9" s="12">
        <v>0.29199999999999998</v>
      </c>
      <c r="BO9" s="12">
        <f t="shared" si="8"/>
        <v>0</v>
      </c>
      <c r="BP9" s="12">
        <v>3</v>
      </c>
      <c r="BQ9" s="12">
        <v>1</v>
      </c>
      <c r="BR9" s="10">
        <v>1</v>
      </c>
      <c r="BS9" s="10">
        <v>3</v>
      </c>
      <c r="BT9" s="10">
        <v>7.0000000000000007E-2</v>
      </c>
      <c r="BU9" s="10">
        <v>7.0000000000000007E-2</v>
      </c>
      <c r="BV9" s="10">
        <f t="shared" si="9"/>
        <v>0</v>
      </c>
      <c r="BW9" s="10">
        <v>3</v>
      </c>
      <c r="BX9" s="10">
        <v>10</v>
      </c>
      <c r="BY9" s="12">
        <v>1</v>
      </c>
      <c r="BZ9" s="12">
        <v>3</v>
      </c>
      <c r="CA9" s="12">
        <v>0.32</v>
      </c>
      <c r="CB9" s="12">
        <v>0.32</v>
      </c>
      <c r="CC9" s="12">
        <f t="shared" si="10"/>
        <v>0</v>
      </c>
      <c r="CD9" s="12">
        <v>4</v>
      </c>
      <c r="CE9" s="12">
        <v>9</v>
      </c>
      <c r="CF9" s="33">
        <f t="shared" si="11"/>
        <v>10</v>
      </c>
      <c r="CG9" s="5">
        <f t="shared" si="12"/>
        <v>30</v>
      </c>
      <c r="CH9" s="5">
        <f t="shared" si="13"/>
        <v>0</v>
      </c>
      <c r="CI9" s="13" t="s">
        <v>71</v>
      </c>
      <c r="CJ9" s="3">
        <v>3</v>
      </c>
      <c r="CK9" s="3">
        <v>4</v>
      </c>
      <c r="CL9" s="3">
        <v>5</v>
      </c>
      <c r="CM9" s="3">
        <v>3</v>
      </c>
      <c r="CN9" s="3">
        <v>4</v>
      </c>
      <c r="CO9" s="8" t="s">
        <v>50</v>
      </c>
      <c r="CP9" s="8" t="s">
        <v>49</v>
      </c>
      <c r="CQ9" s="8" t="s">
        <v>51</v>
      </c>
      <c r="CR9" s="8" t="s">
        <v>60</v>
      </c>
      <c r="CS9" s="3">
        <v>-2</v>
      </c>
      <c r="CT9" s="3">
        <v>0</v>
      </c>
      <c r="CU9" s="3">
        <v>2</v>
      </c>
      <c r="CV9" s="3">
        <v>-1</v>
      </c>
      <c r="CW9" s="3">
        <v>1</v>
      </c>
      <c r="CX9" s="13" t="s">
        <v>72</v>
      </c>
      <c r="CY9" s="3"/>
      <c r="CZ9" s="3"/>
      <c r="DA9" s="3"/>
      <c r="DB9" s="3"/>
      <c r="DC9" s="3"/>
      <c r="DD9" s="3"/>
      <c r="DE9" s="3"/>
      <c r="DF9" s="3"/>
      <c r="DG9" s="3"/>
      <c r="DH9" s="3"/>
      <c r="DI9" s="3"/>
      <c r="DJ9" s="3"/>
      <c r="DK9" s="3"/>
      <c r="DL9" s="3"/>
      <c r="DM9" s="3"/>
      <c r="DN9" s="3"/>
      <c r="DO9" s="3"/>
      <c r="DP9" s="3"/>
      <c r="DQ9" s="3"/>
      <c r="DR9" s="3"/>
      <c r="DS9" s="3"/>
      <c r="DT9" s="3"/>
      <c r="DU9" s="3"/>
      <c r="DV9" s="3"/>
      <c r="DW9" s="3"/>
      <c r="DX9" s="3"/>
      <c r="DY9" s="3"/>
    </row>
    <row r="10" spans="1:129" x14ac:dyDescent="0.25">
      <c r="A10">
        <v>9</v>
      </c>
      <c r="B10">
        <v>1</v>
      </c>
      <c r="C10" s="3" t="s">
        <v>16</v>
      </c>
      <c r="D10" s="3">
        <v>26</v>
      </c>
      <c r="E10" s="3" t="s">
        <v>62</v>
      </c>
      <c r="F10" s="3">
        <v>11</v>
      </c>
      <c r="G10" s="3">
        <v>13</v>
      </c>
      <c r="H10" s="3">
        <v>0</v>
      </c>
      <c r="I10" s="3">
        <v>0</v>
      </c>
      <c r="J10" s="3">
        <v>0.25</v>
      </c>
      <c r="K10" s="3">
        <v>0.23</v>
      </c>
      <c r="L10" s="3">
        <f t="shared" si="0"/>
        <v>3.6212172654444708E-2</v>
      </c>
      <c r="M10" s="3">
        <v>1</v>
      </c>
      <c r="N10" s="10">
        <v>1</v>
      </c>
      <c r="O10" s="10">
        <v>3</v>
      </c>
      <c r="P10" s="10">
        <v>2.4E-2</v>
      </c>
      <c r="Q10" s="10">
        <v>2.4E-2</v>
      </c>
      <c r="R10" s="10">
        <f t="shared" si="1"/>
        <v>0</v>
      </c>
      <c r="S10" s="10">
        <v>4</v>
      </c>
      <c r="T10" s="10">
        <v>10</v>
      </c>
      <c r="U10" s="12">
        <v>1</v>
      </c>
      <c r="V10" s="12">
        <v>3</v>
      </c>
      <c r="W10" s="12">
        <v>0.36299999999999999</v>
      </c>
      <c r="X10" s="12">
        <v>0.36299999999999999</v>
      </c>
      <c r="Y10" s="12">
        <f t="shared" si="2"/>
        <v>0</v>
      </c>
      <c r="Z10" s="12">
        <v>4</v>
      </c>
      <c r="AA10" s="12">
        <v>2</v>
      </c>
      <c r="AB10" s="10">
        <v>1</v>
      </c>
      <c r="AC10" s="10">
        <v>3</v>
      </c>
      <c r="AD10" s="10">
        <v>7.1999999999999995E-2</v>
      </c>
      <c r="AE10" s="10">
        <v>7.1999999999999995E-2</v>
      </c>
      <c r="AF10" s="10">
        <f t="shared" si="3"/>
        <v>0</v>
      </c>
      <c r="AG10" s="10">
        <v>3</v>
      </c>
      <c r="AH10" s="10">
        <v>9</v>
      </c>
      <c r="AI10" s="12">
        <v>1</v>
      </c>
      <c r="AJ10" s="12">
        <v>3</v>
      </c>
      <c r="AK10" s="12">
        <v>0.25</v>
      </c>
      <c r="AL10" s="12">
        <v>0.25</v>
      </c>
      <c r="AM10" s="12">
        <f t="shared" si="4"/>
        <v>0</v>
      </c>
      <c r="AN10" s="12">
        <v>3</v>
      </c>
      <c r="AO10" s="12">
        <v>8</v>
      </c>
      <c r="AP10" s="10">
        <v>1</v>
      </c>
      <c r="AQ10" s="10">
        <v>3</v>
      </c>
      <c r="AR10" s="10">
        <v>1.2E-2</v>
      </c>
      <c r="AS10" s="10">
        <v>1.2E-2</v>
      </c>
      <c r="AT10" s="10">
        <f t="shared" si="5"/>
        <v>0</v>
      </c>
      <c r="AU10" s="10">
        <v>3</v>
      </c>
      <c r="AV10" s="10">
        <v>3</v>
      </c>
      <c r="AW10" s="12">
        <v>1</v>
      </c>
      <c r="AX10" s="12">
        <v>3</v>
      </c>
      <c r="AY10" s="12">
        <v>0.41499999999999998</v>
      </c>
      <c r="AZ10" s="12">
        <v>0.41499999999999998</v>
      </c>
      <c r="BA10" s="12">
        <f t="shared" si="6"/>
        <v>0</v>
      </c>
      <c r="BB10" s="12">
        <v>4</v>
      </c>
      <c r="BC10" s="12">
        <v>4</v>
      </c>
      <c r="BD10" s="10">
        <v>1</v>
      </c>
      <c r="BE10" s="10">
        <v>3</v>
      </c>
      <c r="BF10" s="10">
        <v>8.4000000000000005E-2</v>
      </c>
      <c r="BG10" s="10">
        <v>8.4000000000000005E-2</v>
      </c>
      <c r="BH10" s="10">
        <f t="shared" si="7"/>
        <v>0</v>
      </c>
      <c r="BI10" s="10">
        <v>4</v>
      </c>
      <c r="BJ10" s="10">
        <v>7</v>
      </c>
      <c r="BK10" s="12">
        <v>1</v>
      </c>
      <c r="BL10" s="12">
        <v>3</v>
      </c>
      <c r="BM10" s="12">
        <v>0.29199999999999998</v>
      </c>
      <c r="BN10" s="12">
        <v>0.29199999999999998</v>
      </c>
      <c r="BO10" s="12">
        <f t="shared" si="8"/>
        <v>0</v>
      </c>
      <c r="BP10" s="12">
        <v>4</v>
      </c>
      <c r="BQ10" s="12">
        <v>5</v>
      </c>
      <c r="BR10" s="10">
        <v>1</v>
      </c>
      <c r="BS10" s="10">
        <v>3</v>
      </c>
      <c r="BT10" s="10">
        <v>7.0000000000000007E-2</v>
      </c>
      <c r="BU10" s="10">
        <v>7.0000000000000007E-2</v>
      </c>
      <c r="BV10" s="10">
        <f t="shared" si="9"/>
        <v>0</v>
      </c>
      <c r="BW10" s="10">
        <v>3</v>
      </c>
      <c r="BX10" s="10">
        <v>6</v>
      </c>
      <c r="BY10" s="12">
        <v>1</v>
      </c>
      <c r="BZ10" s="12">
        <v>3</v>
      </c>
      <c r="CA10" s="12">
        <v>0.32</v>
      </c>
      <c r="CB10" s="12">
        <v>0.32</v>
      </c>
      <c r="CC10" s="12">
        <f t="shared" si="10"/>
        <v>0</v>
      </c>
      <c r="CD10" s="12">
        <v>3</v>
      </c>
      <c r="CE10" s="12">
        <v>1</v>
      </c>
      <c r="CF10" s="33">
        <f t="shared" si="11"/>
        <v>10</v>
      </c>
      <c r="CG10" s="5">
        <f t="shared" si="12"/>
        <v>30</v>
      </c>
      <c r="CH10" s="5">
        <f t="shared" si="13"/>
        <v>0</v>
      </c>
      <c r="CI10" s="13" t="s">
        <v>161</v>
      </c>
      <c r="CJ10" s="3">
        <v>2</v>
      </c>
      <c r="CK10" s="3">
        <v>3</v>
      </c>
      <c r="CL10" s="3">
        <v>5</v>
      </c>
      <c r="CM10" s="3">
        <v>4</v>
      </c>
      <c r="CN10" s="3">
        <v>4</v>
      </c>
      <c r="CO10" s="8" t="s">
        <v>50</v>
      </c>
      <c r="CP10" s="8" t="s">
        <v>60</v>
      </c>
      <c r="CQ10" s="8" t="s">
        <v>51</v>
      </c>
      <c r="CR10" s="8" t="s">
        <v>52</v>
      </c>
      <c r="CS10" s="3">
        <v>-2</v>
      </c>
      <c r="CT10" s="3">
        <v>-1</v>
      </c>
      <c r="CU10" s="3">
        <v>2</v>
      </c>
      <c r="CV10" s="3">
        <v>1</v>
      </c>
      <c r="CW10" s="3">
        <v>0</v>
      </c>
      <c r="CX10" s="13" t="s">
        <v>333</v>
      </c>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row>
    <row r="11" spans="1:129" x14ac:dyDescent="0.25">
      <c r="A11">
        <v>10</v>
      </c>
      <c r="B11">
        <v>2</v>
      </c>
      <c r="C11" s="3" t="s">
        <v>16</v>
      </c>
      <c r="D11" s="3">
        <v>41</v>
      </c>
      <c r="E11" s="3" t="s">
        <v>73</v>
      </c>
      <c r="F11" s="3">
        <v>11</v>
      </c>
      <c r="G11" s="3">
        <v>13</v>
      </c>
      <c r="H11" s="3">
        <v>1</v>
      </c>
      <c r="I11" s="3">
        <v>3</v>
      </c>
      <c r="J11" s="3">
        <v>0.23</v>
      </c>
      <c r="K11" s="3">
        <v>0.23</v>
      </c>
      <c r="L11" s="3">
        <f t="shared" si="0"/>
        <v>0</v>
      </c>
      <c r="M11" s="3">
        <v>3</v>
      </c>
      <c r="N11" s="10">
        <v>1</v>
      </c>
      <c r="O11" s="10">
        <v>3</v>
      </c>
      <c r="P11" s="10">
        <v>0.68600000000000005</v>
      </c>
      <c r="Q11" s="10">
        <v>0.68600000000000005</v>
      </c>
      <c r="R11" s="10">
        <f t="shared" si="1"/>
        <v>0</v>
      </c>
      <c r="S11" s="10">
        <v>3</v>
      </c>
      <c r="T11" s="10">
        <v>2</v>
      </c>
      <c r="U11" s="12">
        <v>1</v>
      </c>
      <c r="V11" s="12">
        <v>3</v>
      </c>
      <c r="W11" s="12">
        <v>8.0000000000000002E-3</v>
      </c>
      <c r="X11" s="12">
        <v>8.0000000000000002E-3</v>
      </c>
      <c r="Y11" s="12">
        <f t="shared" si="2"/>
        <v>0</v>
      </c>
      <c r="Z11" s="12">
        <v>4</v>
      </c>
      <c r="AA11" s="12">
        <v>4</v>
      </c>
      <c r="AB11" s="10">
        <v>1</v>
      </c>
      <c r="AC11" s="10">
        <v>3</v>
      </c>
      <c r="AD11" s="10">
        <v>0.64</v>
      </c>
      <c r="AE11" s="10">
        <v>0.64</v>
      </c>
      <c r="AF11" s="10">
        <f t="shared" si="3"/>
        <v>0</v>
      </c>
      <c r="AG11" s="10">
        <v>3</v>
      </c>
      <c r="AH11" s="10">
        <v>7</v>
      </c>
      <c r="AI11" s="12">
        <v>1</v>
      </c>
      <c r="AJ11" s="12">
        <v>3</v>
      </c>
      <c r="AK11" s="12">
        <v>4.1000000000000003E-3</v>
      </c>
      <c r="AL11" s="12">
        <v>4.1000000000000003E-3</v>
      </c>
      <c r="AM11" s="12">
        <f t="shared" si="4"/>
        <v>0</v>
      </c>
      <c r="AN11" s="12">
        <v>4</v>
      </c>
      <c r="AO11" s="12">
        <v>5</v>
      </c>
      <c r="AP11" s="10">
        <v>0</v>
      </c>
      <c r="AQ11" s="10">
        <v>1</v>
      </c>
      <c r="AR11" s="10">
        <f>202/210</f>
        <v>0.96190476190476193</v>
      </c>
      <c r="AS11" s="10">
        <v>0.66300000000000003</v>
      </c>
      <c r="AT11" s="10">
        <f t="shared" si="5"/>
        <v>0.16161854630793135</v>
      </c>
      <c r="AU11" s="10">
        <v>4</v>
      </c>
      <c r="AV11" s="10">
        <v>6</v>
      </c>
      <c r="AW11" s="12">
        <v>1</v>
      </c>
      <c r="AX11" s="12">
        <v>3</v>
      </c>
      <c r="AY11" s="12">
        <v>7.0000000000000001E-3</v>
      </c>
      <c r="AZ11" s="12">
        <v>7.0000000000000001E-3</v>
      </c>
      <c r="BA11" s="12">
        <f t="shared" si="6"/>
        <v>0</v>
      </c>
      <c r="BB11" s="12">
        <v>4</v>
      </c>
      <c r="BC11" s="12">
        <v>8</v>
      </c>
      <c r="BD11" s="10">
        <v>1</v>
      </c>
      <c r="BE11" s="10">
        <v>3</v>
      </c>
      <c r="BF11" s="10">
        <v>0.75900000000000001</v>
      </c>
      <c r="BG11" s="10">
        <v>0.75900000000000001</v>
      </c>
      <c r="BH11" s="10">
        <f t="shared" si="7"/>
        <v>0</v>
      </c>
      <c r="BI11" s="10">
        <v>4</v>
      </c>
      <c r="BJ11" s="10">
        <v>3</v>
      </c>
      <c r="BK11" s="12">
        <v>1</v>
      </c>
      <c r="BL11" s="12">
        <v>3</v>
      </c>
      <c r="BM11" s="12">
        <v>2.2000000000000001E-3</v>
      </c>
      <c r="BN11" s="12">
        <v>2.2000000000000001E-3</v>
      </c>
      <c r="BO11" s="12">
        <f t="shared" si="8"/>
        <v>0</v>
      </c>
      <c r="BP11" s="12">
        <v>4</v>
      </c>
      <c r="BQ11" s="12">
        <v>1</v>
      </c>
      <c r="BR11" s="10">
        <v>1</v>
      </c>
      <c r="BS11" s="10">
        <v>3</v>
      </c>
      <c r="BT11" s="10">
        <v>0.73</v>
      </c>
      <c r="BU11" s="10">
        <v>0.73</v>
      </c>
      <c r="BV11" s="10">
        <f t="shared" si="9"/>
        <v>0</v>
      </c>
      <c r="BW11" s="10">
        <v>3</v>
      </c>
      <c r="BX11" s="10">
        <v>10</v>
      </c>
      <c r="BY11" s="12">
        <v>1</v>
      </c>
      <c r="BZ11" s="12">
        <v>3</v>
      </c>
      <c r="CA11" s="12">
        <v>8.9999999999999993E-3</v>
      </c>
      <c r="CB11" s="12">
        <v>8.9999999999999993E-3</v>
      </c>
      <c r="CC11" s="12">
        <f t="shared" si="10"/>
        <v>0</v>
      </c>
      <c r="CD11" s="12">
        <v>2</v>
      </c>
      <c r="CE11" s="12">
        <v>9</v>
      </c>
      <c r="CF11" s="32">
        <f t="shared" si="11"/>
        <v>9</v>
      </c>
      <c r="CG11" s="5">
        <f t="shared" si="12"/>
        <v>28</v>
      </c>
      <c r="CH11" s="5">
        <f t="shared" si="13"/>
        <v>1.6161854630793136E-2</v>
      </c>
      <c r="CI11" s="13" t="s">
        <v>71</v>
      </c>
      <c r="CJ11" s="3">
        <v>2</v>
      </c>
      <c r="CK11" s="3">
        <v>2</v>
      </c>
      <c r="CL11" s="3">
        <v>4</v>
      </c>
      <c r="CM11" s="3">
        <v>4</v>
      </c>
      <c r="CN11" s="3">
        <v>3</v>
      </c>
      <c r="CO11" s="8" t="s">
        <v>50</v>
      </c>
      <c r="CP11" s="8" t="s">
        <v>60</v>
      </c>
      <c r="CQ11" s="8" t="s">
        <v>51</v>
      </c>
      <c r="CR11" s="8" t="s">
        <v>52</v>
      </c>
      <c r="CS11" s="3">
        <v>-2</v>
      </c>
      <c r="CT11" s="3">
        <v>-1</v>
      </c>
      <c r="CU11" s="3">
        <v>2</v>
      </c>
      <c r="CV11" s="3">
        <v>1</v>
      </c>
      <c r="CW11" s="3">
        <v>0</v>
      </c>
      <c r="CX11" s="13" t="s">
        <v>74</v>
      </c>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row>
    <row r="12" spans="1:129" x14ac:dyDescent="0.25">
      <c r="A12">
        <v>11</v>
      </c>
      <c r="B12">
        <v>1</v>
      </c>
      <c r="C12" s="3" t="s">
        <v>75</v>
      </c>
      <c r="D12" s="3">
        <v>56</v>
      </c>
      <c r="E12" s="3" t="s">
        <v>70</v>
      </c>
      <c r="F12" s="3">
        <v>11</v>
      </c>
      <c r="G12" s="3">
        <v>11</v>
      </c>
      <c r="H12" s="3">
        <v>1</v>
      </c>
      <c r="I12" s="3">
        <v>3</v>
      </c>
      <c r="J12" s="3">
        <v>0.23</v>
      </c>
      <c r="K12" s="3">
        <v>0.23</v>
      </c>
      <c r="L12" s="3">
        <f t="shared" si="0"/>
        <v>0</v>
      </c>
      <c r="M12" s="3">
        <v>2</v>
      </c>
      <c r="N12" s="10">
        <v>0</v>
      </c>
      <c r="O12" s="10">
        <v>3</v>
      </c>
      <c r="P12" s="10">
        <v>1.7999999999999999E-2</v>
      </c>
      <c r="Q12" s="10">
        <v>2.4E-2</v>
      </c>
      <c r="R12" s="10">
        <f>LOG10(P12/AZ12)</f>
        <v>-1.3627755916087867</v>
      </c>
      <c r="S12" s="10">
        <v>3</v>
      </c>
      <c r="T12" s="10">
        <v>5</v>
      </c>
      <c r="U12" s="12">
        <v>0</v>
      </c>
      <c r="V12" s="12">
        <v>1</v>
      </c>
      <c r="W12" s="12">
        <v>3.3000000000000002E-2</v>
      </c>
      <c r="X12" s="12">
        <v>0.36299999999999999</v>
      </c>
      <c r="Y12" s="12">
        <f t="shared" si="2"/>
        <v>-1.0413926851582249</v>
      </c>
      <c r="Z12" s="12">
        <v>3</v>
      </c>
      <c r="AA12" s="12">
        <v>3</v>
      </c>
      <c r="AB12" s="10">
        <v>0</v>
      </c>
      <c r="AC12" s="10">
        <v>1</v>
      </c>
      <c r="AD12" s="10">
        <v>5.2999999999999999E-2</v>
      </c>
      <c r="AE12" s="10">
        <v>7.1999999999999995E-2</v>
      </c>
      <c r="AF12" s="10">
        <f t="shared" si="3"/>
        <v>-0.13305662683047939</v>
      </c>
      <c r="AG12" s="10">
        <v>3</v>
      </c>
      <c r="AH12" s="10">
        <v>8</v>
      </c>
      <c r="AI12" s="12">
        <v>0</v>
      </c>
      <c r="AJ12" s="12">
        <v>1</v>
      </c>
      <c r="AK12" s="12">
        <v>2.8000000000000001E-2</v>
      </c>
      <c r="AL12" s="12">
        <v>0.25</v>
      </c>
      <c r="AM12" s="12">
        <f t="shared" si="4"/>
        <v>-0.9507819773298184</v>
      </c>
      <c r="AN12" s="12">
        <v>3</v>
      </c>
      <c r="AO12" s="12">
        <v>10</v>
      </c>
      <c r="AP12" s="10">
        <v>0</v>
      </c>
      <c r="AQ12" s="10">
        <v>1</v>
      </c>
      <c r="AR12" s="10">
        <v>8.0000000000000002E-3</v>
      </c>
      <c r="AS12" s="10">
        <v>1.2E-2</v>
      </c>
      <c r="AT12" s="10">
        <f t="shared" si="5"/>
        <v>-0.17609125905568127</v>
      </c>
      <c r="AU12" s="10">
        <v>3</v>
      </c>
      <c r="AV12" s="10">
        <v>1</v>
      </c>
      <c r="AW12" s="12">
        <v>0</v>
      </c>
      <c r="AX12" s="12">
        <v>0</v>
      </c>
      <c r="AY12" s="12">
        <v>8.2000000000000003E-2</v>
      </c>
      <c r="AZ12" s="12">
        <v>0.41499999999999998</v>
      </c>
      <c r="BA12" s="12">
        <f>LOG10(AY12/AZ12)</f>
        <v>-0.704234244328376</v>
      </c>
      <c r="BB12" s="12">
        <v>1</v>
      </c>
      <c r="BC12" s="12">
        <v>2</v>
      </c>
      <c r="BD12" s="10">
        <v>0</v>
      </c>
      <c r="BE12" s="10">
        <v>1</v>
      </c>
      <c r="BF12" s="10">
        <v>5.7000000000000002E-2</v>
      </c>
      <c r="BG12" s="10">
        <v>8.4000000000000005E-2</v>
      </c>
      <c r="BH12" s="10">
        <f t="shared" si="7"/>
        <v>-0.16840443038939024</v>
      </c>
      <c r="BI12" s="10">
        <v>3</v>
      </c>
      <c r="BJ12" s="10">
        <v>9</v>
      </c>
      <c r="BK12" s="12">
        <v>0</v>
      </c>
      <c r="BL12" s="12">
        <v>1</v>
      </c>
      <c r="BM12" s="12">
        <v>2.8000000000000001E-2</v>
      </c>
      <c r="BN12" s="12">
        <v>0.29199999999999998</v>
      </c>
      <c r="BO12" s="12">
        <f t="shared" si="8"/>
        <v>-1.018224820106199</v>
      </c>
      <c r="BP12" s="12">
        <v>3</v>
      </c>
      <c r="BQ12" s="12">
        <v>7</v>
      </c>
      <c r="BR12" s="10">
        <v>0</v>
      </c>
      <c r="BS12" s="10">
        <v>1</v>
      </c>
      <c r="BT12" s="10">
        <v>4.8000000000000001E-2</v>
      </c>
      <c r="BU12" s="10">
        <v>7.0000000000000007E-2</v>
      </c>
      <c r="BV12" s="10">
        <f t="shared" si="9"/>
        <v>-0.16385680263866967</v>
      </c>
      <c r="BW12" s="10">
        <v>3</v>
      </c>
      <c r="BX12" s="10">
        <v>4</v>
      </c>
      <c r="BY12" s="12">
        <v>0</v>
      </c>
      <c r="BZ12" s="12">
        <v>1</v>
      </c>
      <c r="CA12" s="12">
        <v>3.2000000000000001E-2</v>
      </c>
      <c r="CB12" s="12">
        <v>0.32</v>
      </c>
      <c r="CC12" s="12">
        <f t="shared" si="10"/>
        <v>-1</v>
      </c>
      <c r="CD12" s="12">
        <v>3</v>
      </c>
      <c r="CE12" s="12">
        <v>6</v>
      </c>
      <c r="CF12" s="4">
        <f t="shared" si="11"/>
        <v>0</v>
      </c>
      <c r="CG12" s="5">
        <f t="shared" si="12"/>
        <v>11</v>
      </c>
      <c r="CH12" s="5">
        <f t="shared" si="13"/>
        <v>-0.6718818437445625</v>
      </c>
      <c r="CI12" s="13" t="s">
        <v>110</v>
      </c>
      <c r="CJ12" s="3">
        <v>4</v>
      </c>
      <c r="CK12" s="3">
        <v>5</v>
      </c>
      <c r="CL12" s="3">
        <v>4</v>
      </c>
      <c r="CM12" s="3">
        <v>5</v>
      </c>
      <c r="CN12" s="3">
        <v>4</v>
      </c>
      <c r="CO12" s="8" t="s">
        <v>52</v>
      </c>
      <c r="CP12" s="8" t="s">
        <v>60</v>
      </c>
      <c r="CQ12" s="8" t="s">
        <v>51</v>
      </c>
      <c r="CR12" s="8" t="s">
        <v>50</v>
      </c>
      <c r="CS12" s="3">
        <v>-2</v>
      </c>
      <c r="CT12" s="3">
        <v>2</v>
      </c>
      <c r="CU12" s="3">
        <v>-1</v>
      </c>
      <c r="CV12" s="3">
        <v>1</v>
      </c>
      <c r="CW12" s="3">
        <v>0</v>
      </c>
      <c r="CX12" s="13" t="s">
        <v>111</v>
      </c>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row>
    <row r="13" spans="1:129" x14ac:dyDescent="0.25">
      <c r="A13">
        <v>12</v>
      </c>
      <c r="B13">
        <v>2</v>
      </c>
      <c r="C13" s="3" t="s">
        <v>16</v>
      </c>
      <c r="D13" s="3">
        <v>27</v>
      </c>
      <c r="E13" s="3" t="s">
        <v>15</v>
      </c>
      <c r="F13" s="3">
        <v>10</v>
      </c>
      <c r="G13" s="3">
        <v>11</v>
      </c>
      <c r="H13" s="3">
        <v>0</v>
      </c>
      <c r="I13" s="3">
        <v>0</v>
      </c>
      <c r="J13" s="3">
        <f>(27+87)/1000</f>
        <v>0.114</v>
      </c>
      <c r="K13" s="3">
        <v>0.23</v>
      </c>
      <c r="L13" s="3">
        <f t="shared" si="0"/>
        <v>-0.30482298468112029</v>
      </c>
      <c r="M13" s="3">
        <v>2</v>
      </c>
      <c r="N13" s="10">
        <v>0</v>
      </c>
      <c r="O13" s="10">
        <v>1</v>
      </c>
      <c r="P13" s="10">
        <f>162/1000</f>
        <v>0.16200000000000001</v>
      </c>
      <c r="Q13" s="10">
        <v>0.68600000000000005</v>
      </c>
      <c r="R13" s="10">
        <f t="shared" si="1"/>
        <v>-0.62680910116412081</v>
      </c>
      <c r="S13" s="10">
        <v>1</v>
      </c>
      <c r="T13" s="10">
        <v>1</v>
      </c>
      <c r="U13" s="12">
        <v>0</v>
      </c>
      <c r="V13" s="12">
        <v>1</v>
      </c>
      <c r="W13" s="12">
        <f>7/40</f>
        <v>0.17499999999999999</v>
      </c>
      <c r="X13" s="12">
        <v>8.0000000000000002E-3</v>
      </c>
      <c r="Y13" s="12">
        <f t="shared" si="2"/>
        <v>1.3399480616943509</v>
      </c>
      <c r="Z13" s="12">
        <v>2</v>
      </c>
      <c r="AA13" s="12">
        <v>2</v>
      </c>
      <c r="AB13" s="10">
        <v>0</v>
      </c>
      <c r="AC13" s="10">
        <v>1</v>
      </c>
      <c r="AD13" s="10">
        <f>167/220</f>
        <v>0.75909090909090904</v>
      </c>
      <c r="AE13" s="10">
        <v>0.64</v>
      </c>
      <c r="AF13" s="10">
        <f t="shared" si="3"/>
        <v>7.4113816341489863E-2</v>
      </c>
      <c r="AG13" s="10">
        <v>3</v>
      </c>
      <c r="AH13" s="10">
        <v>9</v>
      </c>
      <c r="AI13" s="12">
        <v>0</v>
      </c>
      <c r="AJ13" s="12">
        <v>1</v>
      </c>
      <c r="AK13" s="12">
        <f>4/30</f>
        <v>0.13333333333333333</v>
      </c>
      <c r="AL13" s="12">
        <v>4.1000000000000003E-3</v>
      </c>
      <c r="AM13" s="12">
        <f t="shared" si="4"/>
        <v>1.5121548798885645</v>
      </c>
      <c r="AN13" s="12">
        <v>3</v>
      </c>
      <c r="AO13" s="12">
        <v>7</v>
      </c>
      <c r="AP13" s="10">
        <v>0</v>
      </c>
      <c r="AQ13" s="10">
        <v>1</v>
      </c>
      <c r="AR13" s="10">
        <f>202/210</f>
        <v>0.96190476190476193</v>
      </c>
      <c r="AS13" s="10">
        <v>0.66300000000000003</v>
      </c>
      <c r="AT13" s="10">
        <f t="shared" si="5"/>
        <v>0.16161854630793135</v>
      </c>
      <c r="AU13" s="10">
        <v>4</v>
      </c>
      <c r="AV13" s="10">
        <v>4</v>
      </c>
      <c r="AW13" s="12">
        <v>0</v>
      </c>
      <c r="AX13" s="12">
        <v>1</v>
      </c>
      <c r="AY13" s="12">
        <f>6/40</f>
        <v>0.15</v>
      </c>
      <c r="AZ13" s="12">
        <v>7.0000000000000001E-3</v>
      </c>
      <c r="BA13" s="12">
        <f t="shared" si="6"/>
        <v>1.3309932190414244</v>
      </c>
      <c r="BB13" s="12">
        <v>4</v>
      </c>
      <c r="BC13" s="12">
        <v>6</v>
      </c>
      <c r="BD13" s="10">
        <v>0</v>
      </c>
      <c r="BE13" s="10">
        <v>1</v>
      </c>
      <c r="BF13" s="10">
        <f>243/300</f>
        <v>0.81</v>
      </c>
      <c r="BG13" s="10">
        <v>0.75900000000000001</v>
      </c>
      <c r="BH13" s="10">
        <f t="shared" si="7"/>
        <v>2.8243242983169416E-2</v>
      </c>
      <c r="BI13" s="10">
        <v>3</v>
      </c>
      <c r="BJ13" s="10">
        <v>5</v>
      </c>
      <c r="BK13" s="12">
        <v>0</v>
      </c>
      <c r="BL13" s="12">
        <v>1</v>
      </c>
      <c r="BM13" s="12">
        <f>2/30</f>
        <v>6.6666666666666666E-2</v>
      </c>
      <c r="BN13" s="12">
        <v>2.2000000000000001E-3</v>
      </c>
      <c r="BO13" s="12">
        <f t="shared" si="8"/>
        <v>1.4814860601221125</v>
      </c>
      <c r="BP13" s="12">
        <v>2</v>
      </c>
      <c r="BQ13" s="12">
        <v>3</v>
      </c>
      <c r="BR13" s="10">
        <v>0</v>
      </c>
      <c r="BS13" s="10">
        <v>1</v>
      </c>
      <c r="BT13" s="10">
        <f>232/280</f>
        <v>0.82857142857142863</v>
      </c>
      <c r="BU13" s="10">
        <v>0.73</v>
      </c>
      <c r="BV13" s="10">
        <f t="shared" si="9"/>
        <v>5.5007093428224609E-2</v>
      </c>
      <c r="BW13" s="10">
        <v>3</v>
      </c>
      <c r="BX13" s="10">
        <v>8</v>
      </c>
      <c r="BY13" s="12">
        <v>0</v>
      </c>
      <c r="BZ13" s="12">
        <v>1</v>
      </c>
      <c r="CA13" s="12">
        <f>8/40</f>
        <v>0.2</v>
      </c>
      <c r="CB13" s="12">
        <v>8.9999999999999993E-3</v>
      </c>
      <c r="CC13" s="12">
        <f t="shared" si="10"/>
        <v>1.3467874862246563</v>
      </c>
      <c r="CD13" s="12">
        <v>3</v>
      </c>
      <c r="CE13" s="12">
        <v>10</v>
      </c>
      <c r="CF13" s="4">
        <f t="shared" si="11"/>
        <v>0</v>
      </c>
      <c r="CG13" s="5">
        <f t="shared" si="12"/>
        <v>10</v>
      </c>
      <c r="CH13" s="5">
        <f t="shared" si="13"/>
        <v>0.67035433048678028</v>
      </c>
      <c r="CI13" s="13" t="s">
        <v>68</v>
      </c>
      <c r="CJ13" s="3">
        <v>2</v>
      </c>
      <c r="CK13" s="3">
        <v>1</v>
      </c>
      <c r="CL13" s="3">
        <v>5</v>
      </c>
      <c r="CM13" s="3">
        <v>4</v>
      </c>
      <c r="CN13" s="3">
        <v>4</v>
      </c>
      <c r="CO13" s="8" t="s">
        <v>50</v>
      </c>
      <c r="CP13" s="8" t="s">
        <v>49</v>
      </c>
      <c r="CQ13" s="8" t="s">
        <v>52</v>
      </c>
      <c r="CR13" s="8" t="s">
        <v>51</v>
      </c>
      <c r="CS13" s="3">
        <v>-1</v>
      </c>
      <c r="CT13" s="3">
        <v>-2</v>
      </c>
      <c r="CU13" s="3">
        <v>2</v>
      </c>
      <c r="CV13" s="3">
        <v>0</v>
      </c>
      <c r="CW13" s="3">
        <v>1</v>
      </c>
      <c r="CX13" s="13" t="s">
        <v>322</v>
      </c>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row>
    <row r="14" spans="1:129" x14ac:dyDescent="0.25">
      <c r="A14">
        <v>13</v>
      </c>
      <c r="B14">
        <v>1</v>
      </c>
      <c r="C14" s="3" t="s">
        <v>75</v>
      </c>
      <c r="D14" s="3">
        <v>24</v>
      </c>
      <c r="E14" s="3" t="s">
        <v>112</v>
      </c>
      <c r="F14" s="3">
        <v>9</v>
      </c>
      <c r="G14" s="3">
        <v>13</v>
      </c>
      <c r="H14" s="3">
        <v>0</v>
      </c>
      <c r="I14" s="3">
        <v>0</v>
      </c>
      <c r="J14" s="3">
        <v>0.113</v>
      </c>
      <c r="K14" s="3">
        <v>0.23</v>
      </c>
      <c r="L14" s="3">
        <f t="shared" si="0"/>
        <v>-0.30864939253417317</v>
      </c>
      <c r="M14" s="3">
        <v>3</v>
      </c>
      <c r="N14" s="10">
        <v>0</v>
      </c>
      <c r="O14" s="10">
        <v>0</v>
      </c>
      <c r="P14" s="10">
        <v>0.76400000000000001</v>
      </c>
      <c r="Q14" s="10">
        <v>2.4E-2</v>
      </c>
      <c r="R14" s="10">
        <f t="shared" si="1"/>
        <v>1.5028821168640838</v>
      </c>
      <c r="S14" s="10">
        <v>3</v>
      </c>
      <c r="T14" s="10">
        <v>7</v>
      </c>
      <c r="U14" s="12">
        <v>0</v>
      </c>
      <c r="V14" s="12">
        <v>0</v>
      </c>
      <c r="W14" s="12">
        <v>9.0999999999999998E-2</v>
      </c>
      <c r="X14" s="12">
        <v>0.36299999999999999</v>
      </c>
      <c r="Y14" s="12">
        <f t="shared" si="2"/>
        <v>-0.6008652327150189</v>
      </c>
      <c r="Z14" s="12">
        <v>3</v>
      </c>
      <c r="AA14" s="12">
        <v>5</v>
      </c>
      <c r="AB14" s="10">
        <v>0</v>
      </c>
      <c r="AC14" s="10">
        <v>0</v>
      </c>
      <c r="AD14" s="10">
        <v>0.73899999999999999</v>
      </c>
      <c r="AE14" s="10">
        <v>7.1999999999999995E-2</v>
      </c>
      <c r="AF14" s="10">
        <f t="shared" si="3"/>
        <v>1.0113119419635572</v>
      </c>
      <c r="AG14" s="10">
        <v>3</v>
      </c>
      <c r="AH14" s="10">
        <v>6</v>
      </c>
      <c r="AI14" s="12">
        <v>0</v>
      </c>
      <c r="AJ14" s="12">
        <v>0</v>
      </c>
      <c r="AK14" s="12">
        <v>0.104</v>
      </c>
      <c r="AL14" s="12">
        <v>0.25</v>
      </c>
      <c r="AM14" s="12">
        <f t="shared" si="4"/>
        <v>-0.38090666937325729</v>
      </c>
      <c r="AN14" s="12">
        <v>3</v>
      </c>
      <c r="AO14" s="12">
        <v>8</v>
      </c>
      <c r="AP14" s="10">
        <v>0</v>
      </c>
      <c r="AQ14" s="10">
        <v>0</v>
      </c>
      <c r="AR14" s="10">
        <v>0.68200000000000005</v>
      </c>
      <c r="AS14" s="10">
        <v>1.2E-2</v>
      </c>
      <c r="AT14" s="10">
        <f t="shared" si="5"/>
        <v>1.7546031286088541</v>
      </c>
      <c r="AU14" s="10">
        <v>3</v>
      </c>
      <c r="AV14" s="10">
        <v>3</v>
      </c>
      <c r="AW14" s="12">
        <v>0</v>
      </c>
      <c r="AX14" s="12">
        <v>0</v>
      </c>
      <c r="AY14" s="12">
        <v>8.2000000000000003E-2</v>
      </c>
      <c r="AZ14" s="12">
        <v>0.41499999999999998</v>
      </c>
      <c r="BA14" s="12">
        <f t="shared" si="6"/>
        <v>-0.704234244328376</v>
      </c>
      <c r="BB14" s="12">
        <v>3</v>
      </c>
      <c r="BC14" s="12">
        <v>1</v>
      </c>
      <c r="BD14" s="10">
        <v>0</v>
      </c>
      <c r="BE14" s="10">
        <v>0</v>
      </c>
      <c r="BF14" s="10">
        <v>0.68</v>
      </c>
      <c r="BG14" s="10">
        <v>8.4000000000000005E-2</v>
      </c>
      <c r="BH14" s="10">
        <f t="shared" si="7"/>
        <v>0.90822962664435469</v>
      </c>
      <c r="BI14" s="10">
        <v>3</v>
      </c>
      <c r="BJ14" s="10">
        <v>10</v>
      </c>
      <c r="BK14" s="12">
        <v>0</v>
      </c>
      <c r="BL14" s="12">
        <v>0</v>
      </c>
      <c r="BM14" s="12">
        <v>9.6000000000000002E-2</v>
      </c>
      <c r="BN14" s="12">
        <v>0.29199999999999998</v>
      </c>
      <c r="BO14" s="12">
        <f t="shared" si="8"/>
        <v>-0.48311161840884981</v>
      </c>
      <c r="BP14" s="12">
        <v>3</v>
      </c>
      <c r="BQ14" s="12">
        <v>9</v>
      </c>
      <c r="BR14" s="10">
        <v>0</v>
      </c>
      <c r="BS14" s="10">
        <v>0</v>
      </c>
      <c r="BT14" s="10">
        <v>0.68200000000000005</v>
      </c>
      <c r="BU14" s="10">
        <v>7.0000000000000007E-2</v>
      </c>
      <c r="BV14" s="10">
        <f t="shared" si="9"/>
        <v>0.988686334642222</v>
      </c>
      <c r="BW14" s="10">
        <v>3</v>
      </c>
      <c r="BX14" s="10">
        <v>2</v>
      </c>
      <c r="BY14" s="12">
        <v>0</v>
      </c>
      <c r="BZ14" s="12">
        <v>0</v>
      </c>
      <c r="CA14" s="12">
        <v>0.113</v>
      </c>
      <c r="CB14" s="12">
        <v>0.32</v>
      </c>
      <c r="CC14" s="12">
        <f t="shared" si="10"/>
        <v>-0.45207153483648621</v>
      </c>
      <c r="CD14" s="12">
        <v>3</v>
      </c>
      <c r="CE14" s="12">
        <v>4</v>
      </c>
      <c r="CF14" s="4">
        <f t="shared" si="11"/>
        <v>0</v>
      </c>
      <c r="CG14" s="5">
        <f t="shared" si="12"/>
        <v>0</v>
      </c>
      <c r="CH14" s="5">
        <f t="shared" si="13"/>
        <v>0.35445238490610831</v>
      </c>
      <c r="CI14" s="13" t="s">
        <v>113</v>
      </c>
      <c r="CJ14" s="3">
        <v>2</v>
      </c>
      <c r="CK14" s="3">
        <v>3</v>
      </c>
      <c r="CL14" s="3">
        <v>4</v>
      </c>
      <c r="CM14" s="3">
        <v>4</v>
      </c>
      <c r="CN14" s="3">
        <v>4</v>
      </c>
      <c r="CO14" s="8" t="s">
        <v>50</v>
      </c>
      <c r="CP14" s="8" t="s">
        <v>49</v>
      </c>
      <c r="CQ14" s="8" t="s">
        <v>51</v>
      </c>
      <c r="CR14" s="8" t="s">
        <v>52</v>
      </c>
      <c r="CS14" s="3">
        <v>-2</v>
      </c>
      <c r="CT14" s="3">
        <v>-1</v>
      </c>
      <c r="CU14" s="3">
        <v>2</v>
      </c>
      <c r="CV14" s="3">
        <v>0</v>
      </c>
      <c r="CW14" s="3">
        <v>1</v>
      </c>
      <c r="CX14" s="13" t="s">
        <v>114</v>
      </c>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row>
    <row r="15" spans="1:129" x14ac:dyDescent="0.25">
      <c r="A15">
        <v>14</v>
      </c>
      <c r="B15">
        <v>2</v>
      </c>
      <c r="C15" s="3" t="s">
        <v>16</v>
      </c>
      <c r="D15" s="3">
        <v>19</v>
      </c>
      <c r="E15" s="3" t="s">
        <v>15</v>
      </c>
      <c r="F15" s="3">
        <v>10</v>
      </c>
      <c r="G15" s="3">
        <v>11</v>
      </c>
      <c r="H15" s="3">
        <v>1</v>
      </c>
      <c r="I15" s="3">
        <v>3</v>
      </c>
      <c r="J15" s="3">
        <v>0.23</v>
      </c>
      <c r="K15" s="3">
        <v>0.23</v>
      </c>
      <c r="L15" s="3">
        <f t="shared" si="0"/>
        <v>0</v>
      </c>
      <c r="M15" s="3">
        <v>3</v>
      </c>
      <c r="N15" s="10">
        <v>1</v>
      </c>
      <c r="O15" s="10">
        <v>3</v>
      </c>
      <c r="P15" s="10">
        <v>0.68600000000000005</v>
      </c>
      <c r="Q15" s="10">
        <v>0.68600000000000005</v>
      </c>
      <c r="R15" s="10">
        <f t="shared" si="1"/>
        <v>0</v>
      </c>
      <c r="S15" s="10">
        <v>3</v>
      </c>
      <c r="T15" s="10">
        <v>3</v>
      </c>
      <c r="U15" s="12">
        <v>0</v>
      </c>
      <c r="V15" s="12">
        <v>2</v>
      </c>
      <c r="W15" s="12">
        <f>7/902</f>
        <v>7.7605321507760536E-3</v>
      </c>
      <c r="X15" s="12">
        <v>8.0000000000000002E-3</v>
      </c>
      <c r="Y15" s="12">
        <f t="shared" si="2"/>
        <v>-1.3198484519628476E-2</v>
      </c>
      <c r="Z15" s="12">
        <v>3</v>
      </c>
      <c r="AA15" s="12">
        <v>1</v>
      </c>
      <c r="AB15" s="10">
        <v>1</v>
      </c>
      <c r="AC15" s="10">
        <v>3</v>
      </c>
      <c r="AD15" s="10">
        <v>0.64</v>
      </c>
      <c r="AE15" s="10">
        <v>0.64</v>
      </c>
      <c r="AF15" s="10">
        <f t="shared" si="3"/>
        <v>0</v>
      </c>
      <c r="AG15" s="10">
        <v>3</v>
      </c>
      <c r="AH15" s="10">
        <v>10</v>
      </c>
      <c r="AI15" s="12">
        <v>1</v>
      </c>
      <c r="AJ15" s="12">
        <v>3</v>
      </c>
      <c r="AK15" s="12">
        <v>4.1000000000000003E-3</v>
      </c>
      <c r="AL15" s="12">
        <v>4.1000000000000003E-3</v>
      </c>
      <c r="AM15" s="12">
        <f t="shared" si="4"/>
        <v>0</v>
      </c>
      <c r="AN15" s="12">
        <v>2</v>
      </c>
      <c r="AO15" s="12">
        <v>9</v>
      </c>
      <c r="AP15" s="10">
        <v>1</v>
      </c>
      <c r="AQ15" s="10">
        <v>3</v>
      </c>
      <c r="AR15" s="10">
        <v>0.66300000000000003</v>
      </c>
      <c r="AS15" s="10">
        <v>0.66300000000000003</v>
      </c>
      <c r="AT15" s="10">
        <f t="shared" si="5"/>
        <v>0</v>
      </c>
      <c r="AU15" s="10">
        <v>3</v>
      </c>
      <c r="AV15" s="10">
        <v>2</v>
      </c>
      <c r="AW15" s="12">
        <v>1</v>
      </c>
      <c r="AX15" s="12">
        <v>3</v>
      </c>
      <c r="AY15" s="12">
        <v>7.0000000000000001E-3</v>
      </c>
      <c r="AZ15" s="12">
        <v>7.0000000000000001E-3</v>
      </c>
      <c r="BA15" s="12">
        <f t="shared" si="6"/>
        <v>0</v>
      </c>
      <c r="BB15" s="12">
        <v>3</v>
      </c>
      <c r="BC15" s="12">
        <v>4</v>
      </c>
      <c r="BD15" s="10">
        <v>1</v>
      </c>
      <c r="BE15" s="10">
        <v>3</v>
      </c>
      <c r="BF15" s="10">
        <v>0.75900000000000001</v>
      </c>
      <c r="BG15" s="10">
        <v>0.75900000000000001</v>
      </c>
      <c r="BH15" s="10">
        <f t="shared" si="7"/>
        <v>0</v>
      </c>
      <c r="BI15" s="10">
        <v>4</v>
      </c>
      <c r="BJ15" s="10">
        <v>7</v>
      </c>
      <c r="BK15" s="12">
        <v>1</v>
      </c>
      <c r="BL15" s="12">
        <v>3</v>
      </c>
      <c r="BM15" s="12">
        <v>2.2000000000000001E-3</v>
      </c>
      <c r="BN15" s="12">
        <v>2.2000000000000001E-3</v>
      </c>
      <c r="BO15" s="12">
        <f t="shared" si="8"/>
        <v>0</v>
      </c>
      <c r="BP15" s="12">
        <v>2</v>
      </c>
      <c r="BQ15" s="12">
        <v>5</v>
      </c>
      <c r="BR15" s="10">
        <v>1</v>
      </c>
      <c r="BS15" s="10">
        <v>3</v>
      </c>
      <c r="BT15" s="10">
        <v>0.73</v>
      </c>
      <c r="BU15" s="10">
        <v>0.73</v>
      </c>
      <c r="BV15" s="10">
        <f t="shared" si="9"/>
        <v>0</v>
      </c>
      <c r="BW15" s="10">
        <v>2</v>
      </c>
      <c r="BX15" s="10">
        <v>6</v>
      </c>
      <c r="BY15" s="12">
        <v>1</v>
      </c>
      <c r="BZ15" s="12">
        <v>3</v>
      </c>
      <c r="CA15" s="12">
        <v>8.9999999999999993E-3</v>
      </c>
      <c r="CB15" s="12">
        <v>8.9999999999999993E-3</v>
      </c>
      <c r="CC15" s="12">
        <f t="shared" si="10"/>
        <v>0</v>
      </c>
      <c r="CD15" s="12">
        <v>3</v>
      </c>
      <c r="CE15" s="12">
        <v>8</v>
      </c>
      <c r="CF15" s="32">
        <f t="shared" si="11"/>
        <v>9</v>
      </c>
      <c r="CG15" s="5">
        <f t="shared" si="12"/>
        <v>29</v>
      </c>
      <c r="CH15" s="5">
        <f t="shared" si="13"/>
        <v>-1.3198484519628476E-3</v>
      </c>
      <c r="CI15" s="13" t="s">
        <v>115</v>
      </c>
      <c r="CJ15" s="3">
        <v>2</v>
      </c>
      <c r="CK15" s="3">
        <v>4</v>
      </c>
      <c r="CL15" s="3">
        <v>5</v>
      </c>
      <c r="CM15" s="3">
        <v>4</v>
      </c>
      <c r="CN15" s="3">
        <v>3</v>
      </c>
      <c r="CO15" s="8" t="s">
        <v>50</v>
      </c>
      <c r="CP15" s="8" t="s">
        <v>52</v>
      </c>
      <c r="CQ15" s="8" t="s">
        <v>51</v>
      </c>
      <c r="CR15" s="8" t="s">
        <v>49</v>
      </c>
      <c r="CS15" s="3">
        <v>-2</v>
      </c>
      <c r="CT15" s="3">
        <v>1</v>
      </c>
      <c r="CU15" s="3">
        <v>2</v>
      </c>
      <c r="CV15" s="3">
        <v>0</v>
      </c>
      <c r="CW15" s="3">
        <v>-1</v>
      </c>
      <c r="CX15" s="13" t="s">
        <v>116</v>
      </c>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row>
    <row r="16" spans="1:129" x14ac:dyDescent="0.25">
      <c r="A16">
        <v>15</v>
      </c>
      <c r="B16">
        <v>1</v>
      </c>
      <c r="C16" s="3" t="s">
        <v>16</v>
      </c>
      <c r="D16" s="3">
        <v>30</v>
      </c>
      <c r="E16" s="3" t="s">
        <v>15</v>
      </c>
      <c r="F16" s="3">
        <v>11</v>
      </c>
      <c r="G16" s="3">
        <v>13</v>
      </c>
      <c r="H16" s="3">
        <v>1</v>
      </c>
      <c r="I16" s="3">
        <v>3</v>
      </c>
      <c r="J16" s="3">
        <v>0.23</v>
      </c>
      <c r="K16" s="3">
        <v>0.23</v>
      </c>
      <c r="L16" s="3">
        <f t="shared" si="0"/>
        <v>0</v>
      </c>
      <c r="M16" s="3">
        <v>4</v>
      </c>
      <c r="N16" s="10">
        <v>1</v>
      </c>
      <c r="O16" s="10">
        <v>3</v>
      </c>
      <c r="P16" s="10">
        <v>2.4E-2</v>
      </c>
      <c r="Q16" s="10">
        <v>2.4E-2</v>
      </c>
      <c r="R16" s="10">
        <f t="shared" si="1"/>
        <v>0</v>
      </c>
      <c r="S16" s="10">
        <v>3</v>
      </c>
      <c r="T16" s="10">
        <v>9</v>
      </c>
      <c r="U16" s="12">
        <v>1</v>
      </c>
      <c r="V16" s="12">
        <v>3</v>
      </c>
      <c r="W16" s="12">
        <v>0.36299999999999999</v>
      </c>
      <c r="X16" s="12">
        <v>0.36299999999999999</v>
      </c>
      <c r="Y16" s="12">
        <f t="shared" si="2"/>
        <v>0</v>
      </c>
      <c r="Z16" s="12">
        <v>4</v>
      </c>
      <c r="AA16" s="12">
        <v>7</v>
      </c>
      <c r="AB16" s="10">
        <v>1</v>
      </c>
      <c r="AC16" s="10">
        <v>3</v>
      </c>
      <c r="AD16" s="10">
        <v>7.1999999999999995E-2</v>
      </c>
      <c r="AE16" s="10">
        <v>7.1999999999999995E-2</v>
      </c>
      <c r="AF16" s="10">
        <f t="shared" si="3"/>
        <v>0</v>
      </c>
      <c r="AG16" s="10">
        <v>3</v>
      </c>
      <c r="AH16" s="10">
        <v>4</v>
      </c>
      <c r="AI16" s="12">
        <v>1</v>
      </c>
      <c r="AJ16" s="12">
        <v>3</v>
      </c>
      <c r="AK16" s="12">
        <f>26/(26+78)</f>
        <v>0.25</v>
      </c>
      <c r="AL16" s="12">
        <v>0.25</v>
      </c>
      <c r="AM16" s="12">
        <f t="shared" si="4"/>
        <v>0</v>
      </c>
      <c r="AN16" s="12">
        <v>4</v>
      </c>
      <c r="AO16" s="12">
        <v>6</v>
      </c>
      <c r="AP16" s="10">
        <v>1</v>
      </c>
      <c r="AQ16" s="10">
        <v>3</v>
      </c>
      <c r="AR16" s="10">
        <v>1.2E-2</v>
      </c>
      <c r="AS16" s="10">
        <v>1.2E-2</v>
      </c>
      <c r="AT16" s="10">
        <f t="shared" si="5"/>
        <v>0</v>
      </c>
      <c r="AU16" s="10">
        <v>4</v>
      </c>
      <c r="AV16" s="10">
        <v>5</v>
      </c>
      <c r="AW16" s="12">
        <v>1</v>
      </c>
      <c r="AX16" s="12">
        <v>3</v>
      </c>
      <c r="AY16" s="12">
        <v>0.41499999999999998</v>
      </c>
      <c r="AZ16" s="12">
        <v>0.41499999999999998</v>
      </c>
      <c r="BA16" s="12">
        <f t="shared" si="6"/>
        <v>0</v>
      </c>
      <c r="BB16" s="12">
        <v>4</v>
      </c>
      <c r="BC16" s="12">
        <v>3</v>
      </c>
      <c r="BD16" s="10">
        <v>0</v>
      </c>
      <c r="BE16" s="10">
        <v>3</v>
      </c>
      <c r="BF16" s="10">
        <v>8.4000000000000005E-2</v>
      </c>
      <c r="BG16" s="10">
        <v>8.4000000000000005E-2</v>
      </c>
      <c r="BH16" s="10">
        <f t="shared" si="7"/>
        <v>0</v>
      </c>
      <c r="BI16" s="10">
        <v>4</v>
      </c>
      <c r="BJ16" s="10">
        <v>8</v>
      </c>
      <c r="BK16" s="12">
        <v>1</v>
      </c>
      <c r="BL16" s="12">
        <v>3</v>
      </c>
      <c r="BM16" s="12">
        <v>0.29199999999999998</v>
      </c>
      <c r="BN16" s="12">
        <v>0.29199999999999998</v>
      </c>
      <c r="BO16" s="12">
        <f t="shared" si="8"/>
        <v>0</v>
      </c>
      <c r="BP16" s="12">
        <v>4</v>
      </c>
      <c r="BQ16" s="12">
        <v>10</v>
      </c>
      <c r="BR16" s="10">
        <v>1</v>
      </c>
      <c r="BS16" s="10">
        <v>3</v>
      </c>
      <c r="BT16" s="10">
        <v>7.0000000000000007E-2</v>
      </c>
      <c r="BU16" s="10">
        <v>7.0000000000000007E-2</v>
      </c>
      <c r="BV16" s="10">
        <f t="shared" si="9"/>
        <v>0</v>
      </c>
      <c r="BW16" s="10">
        <v>3</v>
      </c>
      <c r="BX16" s="10">
        <v>1</v>
      </c>
      <c r="BY16" s="12">
        <v>1</v>
      </c>
      <c r="BZ16" s="12">
        <v>3</v>
      </c>
      <c r="CA16" s="12">
        <v>0.32</v>
      </c>
      <c r="CB16" s="12">
        <v>0.32</v>
      </c>
      <c r="CC16" s="12">
        <f t="shared" si="10"/>
        <v>0</v>
      </c>
      <c r="CD16" s="12">
        <v>4</v>
      </c>
      <c r="CE16" s="12">
        <v>2</v>
      </c>
      <c r="CF16" s="32">
        <f t="shared" si="11"/>
        <v>9</v>
      </c>
      <c r="CG16" s="5">
        <f t="shared" si="12"/>
        <v>30</v>
      </c>
      <c r="CH16" s="5">
        <f t="shared" si="13"/>
        <v>0</v>
      </c>
      <c r="CI16" s="13" t="s">
        <v>127</v>
      </c>
      <c r="CJ16" s="3">
        <v>4</v>
      </c>
      <c r="CK16" s="3">
        <v>5</v>
      </c>
      <c r="CL16" s="3">
        <v>5</v>
      </c>
      <c r="CM16" s="3">
        <v>2</v>
      </c>
      <c r="CN16" s="3">
        <v>4</v>
      </c>
      <c r="CO16" s="8" t="s">
        <v>50</v>
      </c>
      <c r="CP16" s="8" t="s">
        <v>59</v>
      </c>
      <c r="CQ16" s="8" t="s">
        <v>60</v>
      </c>
      <c r="CR16" s="8" t="s">
        <v>49</v>
      </c>
      <c r="CS16" s="3">
        <v>1</v>
      </c>
      <c r="CT16" s="3">
        <v>0</v>
      </c>
      <c r="CU16" s="3">
        <v>2</v>
      </c>
      <c r="CV16" s="3">
        <v>-2</v>
      </c>
      <c r="CW16" s="3">
        <v>-1</v>
      </c>
      <c r="CX16" s="13" t="s">
        <v>117</v>
      </c>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row>
    <row r="17" spans="1:129" x14ac:dyDescent="0.25">
      <c r="A17">
        <v>16</v>
      </c>
      <c r="B17">
        <v>2</v>
      </c>
      <c r="C17" s="3" t="s">
        <v>16</v>
      </c>
      <c r="D17" s="3">
        <v>38</v>
      </c>
      <c r="E17" s="3" t="s">
        <v>15</v>
      </c>
      <c r="F17" s="3">
        <v>10</v>
      </c>
      <c r="G17" s="3">
        <v>13</v>
      </c>
      <c r="H17" s="3">
        <v>0</v>
      </c>
      <c r="I17" s="3">
        <v>1</v>
      </c>
      <c r="J17" s="3">
        <f>26/1000</f>
        <v>2.5999999999999999E-2</v>
      </c>
      <c r="K17" s="3">
        <v>0.23</v>
      </c>
      <c r="L17" s="3">
        <f t="shared" si="0"/>
        <v>-0.94675448804677498</v>
      </c>
      <c r="M17" s="3">
        <v>3</v>
      </c>
      <c r="N17" s="10">
        <v>0</v>
      </c>
      <c r="O17" s="10">
        <v>1</v>
      </c>
      <c r="P17" s="10">
        <f>162/1000</f>
        <v>0.16200000000000001</v>
      </c>
      <c r="Q17" s="10">
        <v>0.68600000000000005</v>
      </c>
      <c r="R17" s="10">
        <f t="shared" si="1"/>
        <v>-0.62680910116412081</v>
      </c>
      <c r="S17" s="10">
        <v>4</v>
      </c>
      <c r="T17" s="10">
        <v>5</v>
      </c>
      <c r="U17" s="12">
        <v>0</v>
      </c>
      <c r="V17" s="12">
        <v>1</v>
      </c>
      <c r="W17" s="12">
        <v>7.0000000000000001E-3</v>
      </c>
      <c r="X17" s="12">
        <v>8.0000000000000002E-3</v>
      </c>
      <c r="Y17" s="12">
        <f t="shared" si="2"/>
        <v>-5.7991946977686754E-2</v>
      </c>
      <c r="Z17" s="12">
        <v>4</v>
      </c>
      <c r="AA17" s="12">
        <v>3</v>
      </c>
      <c r="AB17" s="10">
        <v>0</v>
      </c>
      <c r="AC17" s="10">
        <v>1</v>
      </c>
      <c r="AD17" s="10">
        <f>167/1000</f>
        <v>0.16700000000000001</v>
      </c>
      <c r="AE17" s="10">
        <v>0.64</v>
      </c>
      <c r="AF17" s="10">
        <f t="shared" si="3"/>
        <v>-0.58346350283630388</v>
      </c>
      <c r="AG17" s="10">
        <v>4</v>
      </c>
      <c r="AH17" s="10">
        <v>8</v>
      </c>
      <c r="AI17" s="12">
        <v>0</v>
      </c>
      <c r="AJ17" s="12">
        <v>1</v>
      </c>
      <c r="AK17" s="12">
        <f>4/1000</f>
        <v>4.0000000000000001E-3</v>
      </c>
      <c r="AL17" s="12">
        <v>4.1000000000000003E-3</v>
      </c>
      <c r="AM17" s="12">
        <f t="shared" si="4"/>
        <v>-1.0723865391773113E-2</v>
      </c>
      <c r="AN17" s="12">
        <v>4</v>
      </c>
      <c r="AO17" s="12">
        <v>10</v>
      </c>
      <c r="AP17" s="10">
        <v>0</v>
      </c>
      <c r="AQ17" s="10">
        <v>1</v>
      </c>
      <c r="AR17" s="10">
        <v>0.20200000000000001</v>
      </c>
      <c r="AS17" s="10">
        <v>0.66300000000000003</v>
      </c>
      <c r="AT17" s="10">
        <f t="shared" si="5"/>
        <v>-0.51616215895814932</v>
      </c>
      <c r="AU17" s="10">
        <v>2</v>
      </c>
      <c r="AV17" s="10">
        <v>1</v>
      </c>
      <c r="AW17" s="12">
        <v>0</v>
      </c>
      <c r="AX17" s="12">
        <v>1</v>
      </c>
      <c r="AY17" s="12">
        <v>6.0000000000000001E-3</v>
      </c>
      <c r="AZ17" s="12">
        <v>7.0000000000000001E-3</v>
      </c>
      <c r="BA17" s="12">
        <f t="shared" si="6"/>
        <v>-6.6946789630613221E-2</v>
      </c>
      <c r="BB17" s="12">
        <v>3</v>
      </c>
      <c r="BC17" s="12">
        <v>2</v>
      </c>
      <c r="BD17" s="10">
        <v>0</v>
      </c>
      <c r="BE17" s="10">
        <v>1</v>
      </c>
      <c r="BF17" s="10">
        <f>243/1000</f>
        <v>0.24299999999999999</v>
      </c>
      <c r="BG17" s="10">
        <v>0.75900000000000001</v>
      </c>
      <c r="BH17" s="10">
        <f t="shared" si="7"/>
        <v>-0.49463550229716818</v>
      </c>
      <c r="BI17" s="10">
        <v>4</v>
      </c>
      <c r="BJ17" s="10">
        <v>9</v>
      </c>
      <c r="BK17" s="12">
        <v>0</v>
      </c>
      <c r="BL17" s="12">
        <v>1</v>
      </c>
      <c r="BM17" s="12">
        <f>2/1000</f>
        <v>2E-3</v>
      </c>
      <c r="BN17" s="12">
        <v>2.2000000000000001E-3</v>
      </c>
      <c r="BO17" s="12">
        <f t="shared" si="8"/>
        <v>-4.1392685158225057E-2</v>
      </c>
      <c r="BP17" s="12">
        <v>4</v>
      </c>
      <c r="BQ17" s="12">
        <v>7</v>
      </c>
      <c r="BR17" s="10">
        <v>0</v>
      </c>
      <c r="BS17" s="10">
        <v>1</v>
      </c>
      <c r="BT17" s="10">
        <f>232/1000</f>
        <v>0.23200000000000001</v>
      </c>
      <c r="BU17" s="10">
        <v>0.73</v>
      </c>
      <c r="BV17" s="10">
        <f t="shared" si="9"/>
        <v>-0.49783487522955622</v>
      </c>
      <c r="BW17" s="10">
        <v>3</v>
      </c>
      <c r="BX17" s="10">
        <v>4</v>
      </c>
      <c r="BY17" s="12">
        <v>0</v>
      </c>
      <c r="BZ17" s="12">
        <v>1</v>
      </c>
      <c r="CA17" s="12">
        <f>8/1000</f>
        <v>8.0000000000000002E-3</v>
      </c>
      <c r="CB17" s="12">
        <v>8.9999999999999993E-3</v>
      </c>
      <c r="CC17" s="12">
        <f t="shared" si="10"/>
        <v>-5.1152522447381256E-2</v>
      </c>
      <c r="CD17" s="12">
        <v>4</v>
      </c>
      <c r="CE17" s="12">
        <v>6</v>
      </c>
      <c r="CF17" s="4">
        <f t="shared" si="11"/>
        <v>0</v>
      </c>
      <c r="CG17" s="5">
        <f t="shared" si="12"/>
        <v>10</v>
      </c>
      <c r="CH17" s="5">
        <f t="shared" si="13"/>
        <v>-0.29471129500909776</v>
      </c>
      <c r="CI17" s="13" t="s">
        <v>110</v>
      </c>
      <c r="CJ17" s="3">
        <v>1</v>
      </c>
      <c r="CK17" s="3">
        <v>4</v>
      </c>
      <c r="CL17" s="3">
        <v>4</v>
      </c>
      <c r="CM17" s="3">
        <v>4</v>
      </c>
      <c r="CN17" s="3">
        <v>4</v>
      </c>
      <c r="CO17" s="8" t="s">
        <v>60</v>
      </c>
      <c r="CP17" s="8" t="s">
        <v>50</v>
      </c>
      <c r="CQ17" s="8" t="s">
        <v>51</v>
      </c>
      <c r="CR17" s="8" t="s">
        <v>52</v>
      </c>
      <c r="CS17" s="3">
        <v>-2</v>
      </c>
      <c r="CT17" s="3">
        <v>-1</v>
      </c>
      <c r="CU17" s="3">
        <v>1</v>
      </c>
      <c r="CV17" s="3">
        <v>2</v>
      </c>
      <c r="CW17" s="3">
        <v>0</v>
      </c>
      <c r="CX17" s="13" t="s">
        <v>118</v>
      </c>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row>
    <row r="18" spans="1:129" x14ac:dyDescent="0.25">
      <c r="A18">
        <v>17</v>
      </c>
      <c r="B18">
        <v>1</v>
      </c>
      <c r="C18" s="3" t="s">
        <v>75</v>
      </c>
      <c r="D18" s="3">
        <v>22</v>
      </c>
      <c r="E18" s="3" t="s">
        <v>15</v>
      </c>
      <c r="F18" s="3">
        <v>10</v>
      </c>
      <c r="G18" s="3">
        <v>12</v>
      </c>
      <c r="H18" s="3">
        <v>0</v>
      </c>
      <c r="I18" s="3">
        <v>0</v>
      </c>
      <c r="J18" s="3">
        <f>113/1000</f>
        <v>0.113</v>
      </c>
      <c r="K18" s="3">
        <v>0.23</v>
      </c>
      <c r="L18" s="3">
        <f t="shared" si="0"/>
        <v>-0.30864939253417317</v>
      </c>
      <c r="M18" s="3">
        <v>3</v>
      </c>
      <c r="N18" s="10">
        <v>0</v>
      </c>
      <c r="O18" s="10">
        <v>0</v>
      </c>
      <c r="P18" s="10">
        <v>0.76400000000000001</v>
      </c>
      <c r="Q18" s="10">
        <v>2.4E-2</v>
      </c>
      <c r="R18" s="10">
        <f t="shared" si="1"/>
        <v>1.5028821168640838</v>
      </c>
      <c r="S18" s="10">
        <v>4</v>
      </c>
      <c r="T18" s="10">
        <v>10</v>
      </c>
      <c r="U18" s="12">
        <v>0</v>
      </c>
      <c r="V18" s="12">
        <v>0</v>
      </c>
      <c r="W18" s="12">
        <v>0.14899999999999999</v>
      </c>
      <c r="X18" s="12">
        <v>0.36299999999999999</v>
      </c>
      <c r="Y18" s="12">
        <f t="shared" si="2"/>
        <v>-0.38672035662383852</v>
      </c>
      <c r="Z18" s="12">
        <v>1</v>
      </c>
      <c r="AA18" s="12">
        <v>9</v>
      </c>
      <c r="AB18" s="10">
        <v>0</v>
      </c>
      <c r="AC18" s="10">
        <v>0</v>
      </c>
      <c r="AD18" s="10">
        <f>(686+53)/1000</f>
        <v>0.73899999999999999</v>
      </c>
      <c r="AE18" s="10">
        <v>7.1999999999999995E-2</v>
      </c>
      <c r="AF18" s="10">
        <f t="shared" si="3"/>
        <v>1.0113119419635572</v>
      </c>
      <c r="AG18" s="10">
        <v>3</v>
      </c>
      <c r="AH18" s="10">
        <v>2</v>
      </c>
      <c r="AI18" s="12">
        <v>0</v>
      </c>
      <c r="AJ18" s="12">
        <v>0</v>
      </c>
      <c r="AK18" s="12">
        <f>(78+78+26)/1000</f>
        <v>0.182</v>
      </c>
      <c r="AL18" s="12">
        <v>0.25</v>
      </c>
      <c r="AM18" s="12">
        <f t="shared" si="4"/>
        <v>-0.13786862068696282</v>
      </c>
      <c r="AN18" s="12">
        <v>1</v>
      </c>
      <c r="AO18" s="12">
        <v>4</v>
      </c>
      <c r="AP18" s="10">
        <v>0</v>
      </c>
      <c r="AQ18" s="10">
        <v>0</v>
      </c>
      <c r="AR18" s="10">
        <f>(687+8)/1000</f>
        <v>0.69499999999999995</v>
      </c>
      <c r="AS18" s="10">
        <v>1.2E-2</v>
      </c>
      <c r="AT18" s="10">
        <f t="shared" si="5"/>
        <v>1.762803558542489</v>
      </c>
      <c r="AU18" s="10">
        <v>4</v>
      </c>
      <c r="AV18" s="10">
        <v>7</v>
      </c>
      <c r="AW18" s="12">
        <v>0</v>
      </c>
      <c r="AX18" s="12">
        <v>0</v>
      </c>
      <c r="AY18" s="12">
        <f>(34+48)/1000</f>
        <v>8.2000000000000003E-2</v>
      </c>
      <c r="AZ18" s="12">
        <v>0.41499999999999998</v>
      </c>
      <c r="BA18" s="12">
        <f t="shared" si="6"/>
        <v>-0.704234244328376</v>
      </c>
      <c r="BB18" s="12">
        <v>2</v>
      </c>
      <c r="BC18" s="12">
        <v>5</v>
      </c>
      <c r="BD18" s="10">
        <v>0</v>
      </c>
      <c r="BE18" s="10">
        <v>0</v>
      </c>
      <c r="BF18" s="10">
        <f>(57+623)/1000</f>
        <v>0.68</v>
      </c>
      <c r="BG18" s="10">
        <v>8.4000000000000005E-2</v>
      </c>
      <c r="BH18" s="10">
        <f t="shared" si="7"/>
        <v>0.90822962664435469</v>
      </c>
      <c r="BI18" s="10">
        <v>1</v>
      </c>
      <c r="BJ18" s="10">
        <v>6</v>
      </c>
      <c r="BK18" s="12">
        <v>0</v>
      </c>
      <c r="BL18" s="12">
        <v>0</v>
      </c>
      <c r="BM18" s="12">
        <f>(28+68)/1000</f>
        <v>9.6000000000000002E-2</v>
      </c>
      <c r="BN18" s="12">
        <v>0.29199999999999998</v>
      </c>
      <c r="BO18" s="12">
        <f t="shared" si="8"/>
        <v>-0.48311161840884981</v>
      </c>
      <c r="BP18" s="12">
        <v>3</v>
      </c>
      <c r="BQ18" s="12">
        <v>8</v>
      </c>
      <c r="BR18" s="10">
        <v>0</v>
      </c>
      <c r="BS18" s="10">
        <v>0</v>
      </c>
      <c r="BT18" s="10">
        <f>(48+634)/1000</f>
        <v>0.68200000000000005</v>
      </c>
      <c r="BU18" s="10">
        <v>7.0000000000000007E-2</v>
      </c>
      <c r="BV18" s="10">
        <f t="shared" si="9"/>
        <v>0.988686334642222</v>
      </c>
      <c r="BW18" s="10">
        <v>2</v>
      </c>
      <c r="BX18" s="10">
        <v>3</v>
      </c>
      <c r="BY18" s="12">
        <v>0</v>
      </c>
      <c r="BZ18" s="12">
        <v>0</v>
      </c>
      <c r="CA18" s="12">
        <f>99/1000</f>
        <v>9.9000000000000005E-2</v>
      </c>
      <c r="CB18" s="12">
        <v>0.32</v>
      </c>
      <c r="CC18" s="12">
        <f t="shared" si="10"/>
        <v>-0.50951478372235603</v>
      </c>
      <c r="CD18" s="12">
        <v>4</v>
      </c>
      <c r="CE18" s="12">
        <v>1</v>
      </c>
      <c r="CF18" s="4">
        <f t="shared" si="11"/>
        <v>0</v>
      </c>
      <c r="CG18" s="5">
        <f t="shared" si="12"/>
        <v>0</v>
      </c>
      <c r="CH18" s="5">
        <f t="shared" si="13"/>
        <v>0.39524639548863238</v>
      </c>
      <c r="CI18" s="13" t="s">
        <v>122</v>
      </c>
      <c r="CJ18" s="3">
        <v>4</v>
      </c>
      <c r="CK18" s="3">
        <v>2</v>
      </c>
      <c r="CL18" s="3">
        <v>5</v>
      </c>
      <c r="CM18" s="3">
        <v>1</v>
      </c>
      <c r="CN18" s="3">
        <v>1</v>
      </c>
      <c r="CO18" s="8" t="s">
        <v>50</v>
      </c>
      <c r="CP18" s="8" t="s">
        <v>59</v>
      </c>
      <c r="CQ18" s="8" t="s">
        <v>60</v>
      </c>
      <c r="CR18" s="8" t="s">
        <v>49</v>
      </c>
      <c r="CS18" s="3">
        <v>1</v>
      </c>
      <c r="CT18" s="3">
        <v>0</v>
      </c>
      <c r="CU18" s="3">
        <v>2</v>
      </c>
      <c r="CV18" s="3">
        <v>-2</v>
      </c>
      <c r="CW18" s="3">
        <v>-1</v>
      </c>
      <c r="CX18" s="13" t="s">
        <v>121</v>
      </c>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row>
    <row r="19" spans="1:129" x14ac:dyDescent="0.25">
      <c r="A19">
        <v>18</v>
      </c>
      <c r="B19">
        <v>2</v>
      </c>
      <c r="C19" s="3" t="s">
        <v>75</v>
      </c>
      <c r="D19" s="3">
        <v>37</v>
      </c>
      <c r="E19" s="3" t="s">
        <v>123</v>
      </c>
      <c r="F19" s="32">
        <v>7</v>
      </c>
      <c r="G19" s="3">
        <v>11</v>
      </c>
      <c r="H19" s="3">
        <v>0</v>
      </c>
      <c r="I19" s="3">
        <v>1</v>
      </c>
      <c r="J19" s="3">
        <f>26/30</f>
        <v>0.8666666666666667</v>
      </c>
      <c r="K19" s="3">
        <v>0.23</v>
      </c>
      <c r="L19" s="3">
        <f t="shared" si="0"/>
        <v>0.57612425723356264</v>
      </c>
      <c r="M19" s="3">
        <v>3</v>
      </c>
      <c r="N19" s="10">
        <v>0</v>
      </c>
      <c r="O19" s="10">
        <v>1</v>
      </c>
      <c r="P19" s="10">
        <f>162/180</f>
        <v>0.9</v>
      </c>
      <c r="Q19" s="10">
        <v>0.68600000000000005</v>
      </c>
      <c r="R19" s="10">
        <f t="shared" si="1"/>
        <v>0.11791839373257315</v>
      </c>
      <c r="S19" s="10">
        <v>1</v>
      </c>
      <c r="T19" s="10">
        <v>7</v>
      </c>
      <c r="U19" s="12">
        <v>0</v>
      </c>
      <c r="V19" s="12">
        <v>1</v>
      </c>
      <c r="W19" s="12">
        <f>7/40</f>
        <v>0.17499999999999999</v>
      </c>
      <c r="X19" s="12">
        <v>8.0000000000000002E-3</v>
      </c>
      <c r="Y19" s="12">
        <f t="shared" si="2"/>
        <v>1.3399480616943509</v>
      </c>
      <c r="Z19" s="12">
        <v>1</v>
      </c>
      <c r="AA19" s="12">
        <v>5</v>
      </c>
      <c r="AB19" s="10">
        <v>0</v>
      </c>
      <c r="AC19" s="10">
        <v>1</v>
      </c>
      <c r="AD19" s="10">
        <f>167/220</f>
        <v>0.75909090909090904</v>
      </c>
      <c r="AE19" s="10">
        <v>0.64</v>
      </c>
      <c r="AF19" s="10">
        <f t="shared" si="3"/>
        <v>7.4113816341489863E-2</v>
      </c>
      <c r="AG19" s="10">
        <v>1</v>
      </c>
      <c r="AH19" s="10">
        <v>6</v>
      </c>
      <c r="AI19" s="12">
        <v>0</v>
      </c>
      <c r="AJ19" s="12">
        <v>1</v>
      </c>
      <c r="AK19" s="12">
        <f>4/30</f>
        <v>0.13333333333333333</v>
      </c>
      <c r="AL19" s="12">
        <v>4.1000000000000003E-3</v>
      </c>
      <c r="AM19" s="12">
        <f t="shared" si="4"/>
        <v>1.5121548798885645</v>
      </c>
      <c r="AN19" s="12">
        <v>1</v>
      </c>
      <c r="AO19" s="12">
        <v>8</v>
      </c>
      <c r="AP19" s="10">
        <v>0</v>
      </c>
      <c r="AQ19" s="10">
        <v>1</v>
      </c>
      <c r="AR19" s="10">
        <f>202/210</f>
        <v>0.96190476190476193</v>
      </c>
      <c r="AS19" s="10">
        <v>0.66300000000000003</v>
      </c>
      <c r="AT19" s="10">
        <f t="shared" si="5"/>
        <v>0.16161854630793135</v>
      </c>
      <c r="AU19" s="10">
        <v>1</v>
      </c>
      <c r="AV19" s="10">
        <v>3</v>
      </c>
      <c r="AW19" s="12">
        <v>0</v>
      </c>
      <c r="AX19" s="12">
        <v>1</v>
      </c>
      <c r="AY19" s="12">
        <f>6/40</f>
        <v>0.15</v>
      </c>
      <c r="AZ19" s="12">
        <v>7.0000000000000001E-3</v>
      </c>
      <c r="BA19" s="12">
        <f t="shared" si="6"/>
        <v>1.3309932190414244</v>
      </c>
      <c r="BB19" s="12">
        <v>3</v>
      </c>
      <c r="BC19" s="12">
        <v>1</v>
      </c>
      <c r="BD19" s="10">
        <v>0</v>
      </c>
      <c r="BE19" s="10">
        <v>1</v>
      </c>
      <c r="BF19" s="10">
        <f>243/300</f>
        <v>0.81</v>
      </c>
      <c r="BG19" s="10">
        <v>0.75900000000000001</v>
      </c>
      <c r="BH19" s="10">
        <f t="shared" si="7"/>
        <v>2.8243242983169416E-2</v>
      </c>
      <c r="BI19" s="10">
        <v>1</v>
      </c>
      <c r="BJ19" s="10">
        <v>10</v>
      </c>
      <c r="BK19" s="12">
        <v>0</v>
      </c>
      <c r="BL19" s="12">
        <v>1</v>
      </c>
      <c r="BM19" s="12">
        <f>2/30</f>
        <v>6.6666666666666666E-2</v>
      </c>
      <c r="BN19" s="12">
        <v>2.2000000000000001E-3</v>
      </c>
      <c r="BO19" s="12">
        <f t="shared" si="8"/>
        <v>1.4814860601221125</v>
      </c>
      <c r="BP19" s="12">
        <v>1</v>
      </c>
      <c r="BQ19" s="12">
        <v>9</v>
      </c>
      <c r="BR19" s="10">
        <v>0</v>
      </c>
      <c r="BS19" s="10">
        <v>1</v>
      </c>
      <c r="BT19" s="10">
        <f>232/280</f>
        <v>0.82857142857142863</v>
      </c>
      <c r="BU19" s="10">
        <v>0.73</v>
      </c>
      <c r="BV19" s="10">
        <f t="shared" si="9"/>
        <v>5.5007093428224609E-2</v>
      </c>
      <c r="BW19" s="10">
        <v>3</v>
      </c>
      <c r="BX19" s="10">
        <v>2</v>
      </c>
      <c r="BY19" s="12">
        <v>0</v>
      </c>
      <c r="BZ19" s="12">
        <v>1</v>
      </c>
      <c r="CA19" s="12">
        <f>8/40</f>
        <v>0.2</v>
      </c>
      <c r="CB19" s="12">
        <v>8.9999999999999993E-3</v>
      </c>
      <c r="CC19" s="12">
        <f t="shared" si="10"/>
        <v>1.3467874862246563</v>
      </c>
      <c r="CD19" s="12">
        <v>1</v>
      </c>
      <c r="CE19" s="12">
        <v>4</v>
      </c>
      <c r="CF19" s="4">
        <f t="shared" si="11"/>
        <v>0</v>
      </c>
      <c r="CG19" s="5">
        <f t="shared" si="12"/>
        <v>10</v>
      </c>
      <c r="CH19" s="5">
        <f t="shared" si="13"/>
        <v>0.7448270799764497</v>
      </c>
      <c r="CI19" s="13" t="s">
        <v>113</v>
      </c>
      <c r="CJ19" s="3">
        <v>1</v>
      </c>
      <c r="CK19" s="3">
        <v>4</v>
      </c>
      <c r="CL19" s="3">
        <v>5</v>
      </c>
      <c r="CM19" s="3">
        <v>4</v>
      </c>
      <c r="CN19" s="3">
        <v>4</v>
      </c>
      <c r="CO19" s="8" t="s">
        <v>50</v>
      </c>
      <c r="CP19" s="8" t="s">
        <v>60</v>
      </c>
      <c r="CQ19" s="8" t="s">
        <v>51</v>
      </c>
      <c r="CR19" s="8" t="s">
        <v>52</v>
      </c>
      <c r="CS19" s="3">
        <v>-2</v>
      </c>
      <c r="CT19" s="3">
        <v>-1</v>
      </c>
      <c r="CU19" s="3">
        <v>2</v>
      </c>
      <c r="CV19" s="3">
        <v>1</v>
      </c>
      <c r="CW19" s="3">
        <v>0</v>
      </c>
      <c r="CX19" s="13" t="s">
        <v>124</v>
      </c>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row>
    <row r="20" spans="1:129" x14ac:dyDescent="0.25">
      <c r="A20">
        <v>19</v>
      </c>
      <c r="B20">
        <v>1</v>
      </c>
      <c r="C20" s="3" t="s">
        <v>75</v>
      </c>
      <c r="D20" s="3">
        <v>22</v>
      </c>
      <c r="E20" s="3" t="s">
        <v>125</v>
      </c>
      <c r="F20" s="3">
        <v>10</v>
      </c>
      <c r="G20" s="3">
        <v>9</v>
      </c>
      <c r="H20" s="3">
        <v>0</v>
      </c>
      <c r="I20" s="3">
        <v>0</v>
      </c>
      <c r="J20" s="3">
        <f>(87+26)/1000</f>
        <v>0.113</v>
      </c>
      <c r="K20" s="3">
        <v>0.23</v>
      </c>
      <c r="L20" s="3">
        <f t="shared" si="0"/>
        <v>-0.30864939253417317</v>
      </c>
      <c r="M20" s="3">
        <v>3</v>
      </c>
      <c r="N20" s="10">
        <v>0</v>
      </c>
      <c r="O20" s="10">
        <v>1</v>
      </c>
      <c r="P20" s="10">
        <v>1.7999999999999999E-2</v>
      </c>
      <c r="Q20" s="10">
        <v>2.4E-2</v>
      </c>
      <c r="R20" s="10">
        <f t="shared" si="1"/>
        <v>-0.12493873660830002</v>
      </c>
      <c r="S20" s="10">
        <v>4</v>
      </c>
      <c r="T20" s="10">
        <v>8</v>
      </c>
      <c r="U20" s="12">
        <v>0</v>
      </c>
      <c r="V20" s="12">
        <v>1</v>
      </c>
      <c r="W20" s="12">
        <v>3.3000000000000002E-2</v>
      </c>
      <c r="X20" s="12">
        <v>0.36299999999999999</v>
      </c>
      <c r="Y20" s="12">
        <f t="shared" si="2"/>
        <v>-1.0413926851582249</v>
      </c>
      <c r="Z20" s="12">
        <v>4</v>
      </c>
      <c r="AA20" s="12">
        <v>10</v>
      </c>
      <c r="AB20" s="10">
        <v>0</v>
      </c>
      <c r="AC20" s="10">
        <v>0</v>
      </c>
      <c r="AD20" s="10">
        <f>(26+18)/(970+4+26+78)</f>
        <v>4.0816326530612242E-2</v>
      </c>
      <c r="AE20" s="10">
        <v>7.1999999999999995E-2</v>
      </c>
      <c r="AF20" s="10">
        <f t="shared" si="3"/>
        <v>-0.24649858079580092</v>
      </c>
      <c r="AG20" s="10">
        <v>4</v>
      </c>
      <c r="AH20" s="10">
        <v>1</v>
      </c>
      <c r="AI20" s="12">
        <v>0</v>
      </c>
      <c r="AJ20" s="12">
        <v>0</v>
      </c>
      <c r="AK20" s="12">
        <v>0.40799999999999997</v>
      </c>
      <c r="AL20" s="12">
        <v>0.25</v>
      </c>
      <c r="AM20" s="12">
        <f t="shared" si="4"/>
        <v>0.21272015441784231</v>
      </c>
      <c r="AN20" s="12">
        <v>1</v>
      </c>
      <c r="AO20" s="12">
        <v>2</v>
      </c>
      <c r="AP20" s="10">
        <v>0</v>
      </c>
      <c r="AQ20" s="10">
        <v>1</v>
      </c>
      <c r="AR20" s="10">
        <v>8.0000000000000002E-3</v>
      </c>
      <c r="AS20" s="10">
        <v>1.2E-2</v>
      </c>
      <c r="AT20" s="10">
        <f t="shared" si="5"/>
        <v>-0.17609125905568127</v>
      </c>
      <c r="AU20" s="10">
        <v>4</v>
      </c>
      <c r="AV20" s="10">
        <v>9</v>
      </c>
      <c r="AW20" s="12">
        <v>0</v>
      </c>
      <c r="AX20" s="12">
        <v>1</v>
      </c>
      <c r="AY20" s="12">
        <v>3.4000000000000002E-2</v>
      </c>
      <c r="AZ20" s="12">
        <v>0.41499999999999998</v>
      </c>
      <c r="BA20" s="12">
        <f t="shared" si="6"/>
        <v>-1.0865691796698376</v>
      </c>
      <c r="BB20" s="12">
        <v>4</v>
      </c>
      <c r="BC20" s="12">
        <v>7</v>
      </c>
      <c r="BD20" s="10">
        <v>0</v>
      </c>
      <c r="BE20" s="10">
        <v>1</v>
      </c>
      <c r="BF20" s="10">
        <f>57/(57+243+77+623)</f>
        <v>5.7000000000000002E-2</v>
      </c>
      <c r="BG20" s="10">
        <v>8.4000000000000005E-2</v>
      </c>
      <c r="BH20" s="10">
        <f t="shared" si="7"/>
        <v>-0.16840443038939024</v>
      </c>
      <c r="BI20" s="10">
        <v>3</v>
      </c>
      <c r="BJ20" s="10">
        <v>4</v>
      </c>
      <c r="BK20" s="12">
        <v>0</v>
      </c>
      <c r="BL20" s="12">
        <v>1</v>
      </c>
      <c r="BM20" s="12">
        <v>1.7999999999999999E-2</v>
      </c>
      <c r="BN20" s="12">
        <v>0.29199999999999998</v>
      </c>
      <c r="BO20" s="12">
        <f t="shared" si="8"/>
        <v>-1.2101103463451122</v>
      </c>
      <c r="BP20" s="12">
        <v>4</v>
      </c>
      <c r="BQ20" s="12">
        <v>6</v>
      </c>
      <c r="BR20" s="10">
        <v>0</v>
      </c>
      <c r="BS20" s="10">
        <v>1</v>
      </c>
      <c r="BT20" s="10">
        <v>4.8000000000000001E-2</v>
      </c>
      <c r="BU20" s="10">
        <v>7.0000000000000007E-2</v>
      </c>
      <c r="BV20" s="10">
        <f t="shared" si="9"/>
        <v>-0.16385680263866967</v>
      </c>
      <c r="BW20" s="10">
        <v>4</v>
      </c>
      <c r="BX20" s="10">
        <v>5</v>
      </c>
      <c r="BY20" s="12">
        <v>0</v>
      </c>
      <c r="BZ20" s="12">
        <v>0</v>
      </c>
      <c r="CA20" s="12">
        <f>(101+40)/1000</f>
        <v>0.14099999999999999</v>
      </c>
      <c r="CB20" s="12">
        <v>0.32</v>
      </c>
      <c r="CC20" s="12">
        <f t="shared" si="10"/>
        <v>-0.35593086566452614</v>
      </c>
      <c r="CD20" s="12">
        <v>4</v>
      </c>
      <c r="CE20" s="12">
        <v>3</v>
      </c>
      <c r="CF20" s="4">
        <f t="shared" si="11"/>
        <v>0</v>
      </c>
      <c r="CG20" s="5">
        <f t="shared" si="12"/>
        <v>7</v>
      </c>
      <c r="CH20" s="5">
        <f t="shared" si="13"/>
        <v>-0.43610727319077008</v>
      </c>
      <c r="CI20" s="13" t="s">
        <v>58</v>
      </c>
      <c r="CJ20" s="3">
        <v>2</v>
      </c>
      <c r="CK20" s="3">
        <v>4</v>
      </c>
      <c r="CL20" s="3">
        <v>5</v>
      </c>
      <c r="CM20" s="3">
        <v>4</v>
      </c>
      <c r="CN20" s="3">
        <v>5</v>
      </c>
      <c r="CO20" s="8" t="s">
        <v>50</v>
      </c>
      <c r="CP20" s="8" t="s">
        <v>49</v>
      </c>
      <c r="CQ20" s="8" t="s">
        <v>51</v>
      </c>
      <c r="CR20" s="8" t="s">
        <v>60</v>
      </c>
      <c r="CS20" s="3">
        <v>-2</v>
      </c>
      <c r="CT20" s="3">
        <v>0</v>
      </c>
      <c r="CU20" s="3">
        <v>2</v>
      </c>
      <c r="CV20" s="3">
        <v>-1</v>
      </c>
      <c r="CW20" s="3">
        <v>1</v>
      </c>
      <c r="CX20" s="13" t="s">
        <v>126</v>
      </c>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row>
    <row r="21" spans="1:129" x14ac:dyDescent="0.25">
      <c r="A21">
        <v>20</v>
      </c>
      <c r="B21">
        <v>2</v>
      </c>
      <c r="C21" s="3" t="s">
        <v>75</v>
      </c>
      <c r="D21" s="3">
        <v>22</v>
      </c>
      <c r="E21" s="3" t="s">
        <v>128</v>
      </c>
      <c r="F21" s="3">
        <v>10</v>
      </c>
      <c r="G21" s="3">
        <v>10</v>
      </c>
      <c r="H21" s="3">
        <v>0</v>
      </c>
      <c r="I21" s="3">
        <v>1</v>
      </c>
      <c r="J21" s="3">
        <f>4/(4+87)</f>
        <v>4.3956043956043959E-2</v>
      </c>
      <c r="K21" s="3">
        <v>0.23</v>
      </c>
      <c r="L21" s="3">
        <f t="shared" si="0"/>
        <v>-0.71870923701072409</v>
      </c>
      <c r="M21" s="3">
        <v>4</v>
      </c>
      <c r="N21" s="10">
        <v>1</v>
      </c>
      <c r="O21" s="10">
        <v>3</v>
      </c>
      <c r="P21" s="10">
        <v>0.68600000000000005</v>
      </c>
      <c r="Q21" s="10">
        <v>0.68600000000000005</v>
      </c>
      <c r="R21" s="10">
        <f t="shared" si="1"/>
        <v>0</v>
      </c>
      <c r="S21" s="10">
        <v>4</v>
      </c>
      <c r="T21" s="10">
        <v>9</v>
      </c>
      <c r="U21" s="12">
        <v>1</v>
      </c>
      <c r="V21" s="12">
        <v>3</v>
      </c>
      <c r="W21" s="12">
        <v>8.0000000000000002E-3</v>
      </c>
      <c r="X21" s="12">
        <v>8.0000000000000002E-3</v>
      </c>
      <c r="Y21" s="12">
        <f t="shared" si="2"/>
        <v>0</v>
      </c>
      <c r="Z21" s="12">
        <v>4</v>
      </c>
      <c r="AA21" s="12">
        <v>7</v>
      </c>
      <c r="AB21" s="10">
        <v>1</v>
      </c>
      <c r="AC21" s="10">
        <v>3</v>
      </c>
      <c r="AD21" s="10">
        <v>0.64</v>
      </c>
      <c r="AE21" s="10">
        <v>0.64</v>
      </c>
      <c r="AF21" s="10">
        <f t="shared" si="3"/>
        <v>0</v>
      </c>
      <c r="AG21" s="10">
        <v>4</v>
      </c>
      <c r="AH21" s="10">
        <v>4</v>
      </c>
      <c r="AI21" s="12">
        <v>1</v>
      </c>
      <c r="AJ21" s="12">
        <v>3</v>
      </c>
      <c r="AK21" s="12">
        <v>4.1000000000000003E-3</v>
      </c>
      <c r="AL21" s="12">
        <v>4.1000000000000003E-3</v>
      </c>
      <c r="AM21" s="12">
        <f t="shared" si="4"/>
        <v>0</v>
      </c>
      <c r="AN21" s="12">
        <v>4</v>
      </c>
      <c r="AO21" s="12">
        <v>6</v>
      </c>
      <c r="AP21" s="10">
        <v>1</v>
      </c>
      <c r="AQ21" s="10">
        <v>3</v>
      </c>
      <c r="AR21" s="10">
        <v>0.66300000000000003</v>
      </c>
      <c r="AS21" s="10">
        <v>0.66300000000000003</v>
      </c>
      <c r="AT21" s="10">
        <f t="shared" si="5"/>
        <v>0</v>
      </c>
      <c r="AU21" s="10">
        <v>4</v>
      </c>
      <c r="AV21" s="10">
        <v>5</v>
      </c>
      <c r="AW21" s="12">
        <v>1</v>
      </c>
      <c r="AX21" s="12">
        <v>3</v>
      </c>
      <c r="AY21" s="12">
        <v>7.0000000000000001E-3</v>
      </c>
      <c r="AZ21" s="12">
        <v>7.0000000000000001E-3</v>
      </c>
      <c r="BA21" s="12">
        <f t="shared" si="6"/>
        <v>0</v>
      </c>
      <c r="BB21" s="12">
        <v>4</v>
      </c>
      <c r="BC21" s="12">
        <v>3</v>
      </c>
      <c r="BD21" s="10">
        <v>1</v>
      </c>
      <c r="BE21" s="10">
        <v>3</v>
      </c>
      <c r="BF21" s="10">
        <v>0.75900000000000001</v>
      </c>
      <c r="BG21" s="10">
        <v>0.75900000000000001</v>
      </c>
      <c r="BH21" s="10">
        <f t="shared" si="7"/>
        <v>0</v>
      </c>
      <c r="BI21" s="10">
        <v>4</v>
      </c>
      <c r="BJ21" s="10">
        <v>8</v>
      </c>
      <c r="BK21" s="12">
        <v>1</v>
      </c>
      <c r="BL21" s="12">
        <v>3</v>
      </c>
      <c r="BM21" s="12">
        <v>2.2000000000000001E-3</v>
      </c>
      <c r="BN21" s="12">
        <v>2.2000000000000001E-3</v>
      </c>
      <c r="BO21" s="12">
        <f t="shared" si="8"/>
        <v>0</v>
      </c>
      <c r="BP21" s="12">
        <v>4</v>
      </c>
      <c r="BQ21" s="12">
        <v>10</v>
      </c>
      <c r="BR21" s="10">
        <v>1</v>
      </c>
      <c r="BS21" s="10">
        <v>3</v>
      </c>
      <c r="BT21" s="10">
        <v>0.73</v>
      </c>
      <c r="BU21" s="10">
        <v>0.73</v>
      </c>
      <c r="BV21" s="10">
        <f t="shared" si="9"/>
        <v>0</v>
      </c>
      <c r="BW21" s="10">
        <v>4</v>
      </c>
      <c r="BX21" s="10">
        <v>1</v>
      </c>
      <c r="BY21" s="12">
        <v>1</v>
      </c>
      <c r="BZ21" s="12">
        <v>3</v>
      </c>
      <c r="CA21" s="12">
        <v>8.9999999999999993E-3</v>
      </c>
      <c r="CB21" s="12">
        <v>8.9999999999999993E-3</v>
      </c>
      <c r="CC21" s="12">
        <f t="shared" si="10"/>
        <v>0</v>
      </c>
      <c r="CD21" s="12">
        <v>4</v>
      </c>
      <c r="CE21" s="12">
        <v>2</v>
      </c>
      <c r="CF21" s="33">
        <f t="shared" si="11"/>
        <v>10</v>
      </c>
      <c r="CG21" s="5">
        <f t="shared" si="12"/>
        <v>30</v>
      </c>
      <c r="CH21" s="5">
        <f t="shared" si="13"/>
        <v>0</v>
      </c>
      <c r="CI21" s="13" t="s">
        <v>127</v>
      </c>
      <c r="CJ21" s="3">
        <v>5</v>
      </c>
      <c r="CK21" s="3">
        <v>5</v>
      </c>
      <c r="CL21" s="3">
        <v>5</v>
      </c>
      <c r="CM21" s="3">
        <v>5</v>
      </c>
      <c r="CN21" s="3">
        <v>5</v>
      </c>
      <c r="CO21" s="8" t="s">
        <v>50</v>
      </c>
      <c r="CP21" s="8" t="s">
        <v>49</v>
      </c>
      <c r="CQ21" s="8" t="s">
        <v>52</v>
      </c>
      <c r="CR21" s="8" t="s">
        <v>60</v>
      </c>
      <c r="CS21" s="3">
        <v>0</v>
      </c>
      <c r="CT21" s="3">
        <v>-2</v>
      </c>
      <c r="CU21" s="3">
        <v>2</v>
      </c>
      <c r="CV21" s="3">
        <v>-1</v>
      </c>
      <c r="CW21" s="3">
        <v>1</v>
      </c>
      <c r="CX21" s="13" t="s">
        <v>129</v>
      </c>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row>
    <row r="22" spans="1:129" x14ac:dyDescent="0.25">
      <c r="A22">
        <v>21</v>
      </c>
      <c r="B22">
        <v>1</v>
      </c>
      <c r="C22" s="3" t="s">
        <v>16</v>
      </c>
      <c r="D22" s="3">
        <v>19</v>
      </c>
      <c r="E22" s="3" t="s">
        <v>15</v>
      </c>
      <c r="F22" s="3">
        <v>11</v>
      </c>
      <c r="G22" s="3">
        <v>11</v>
      </c>
      <c r="H22" s="3">
        <v>0</v>
      </c>
      <c r="I22" s="3">
        <v>1</v>
      </c>
      <c r="J22" s="3">
        <f>26/87</f>
        <v>0.2988505747126437</v>
      </c>
      <c r="K22" s="3">
        <v>0.23</v>
      </c>
      <c r="L22" s="3">
        <f t="shared" si="0"/>
        <v>0.11372625933460659</v>
      </c>
      <c r="M22" s="3">
        <v>4</v>
      </c>
      <c r="N22" s="10">
        <v>1</v>
      </c>
      <c r="O22" s="10">
        <v>3</v>
      </c>
      <c r="P22" s="10">
        <v>2.4E-2</v>
      </c>
      <c r="Q22" s="10">
        <v>2.4E-2</v>
      </c>
      <c r="R22" s="10">
        <f t="shared" si="1"/>
        <v>0</v>
      </c>
      <c r="S22" s="10">
        <v>4</v>
      </c>
      <c r="T22" s="10">
        <v>6</v>
      </c>
      <c r="U22" s="12">
        <v>1</v>
      </c>
      <c r="V22" s="12">
        <v>3</v>
      </c>
      <c r="W22" s="12">
        <v>0.36299999999999999</v>
      </c>
      <c r="X22" s="12">
        <v>0.36299999999999999</v>
      </c>
      <c r="Y22" s="12">
        <f t="shared" si="2"/>
        <v>0</v>
      </c>
      <c r="Z22" s="12">
        <v>3</v>
      </c>
      <c r="AA22" s="12">
        <v>8</v>
      </c>
      <c r="AB22" s="10">
        <v>0</v>
      </c>
      <c r="AC22" s="10">
        <v>1</v>
      </c>
      <c r="AD22" s="10">
        <v>5.2999999999999999E-2</v>
      </c>
      <c r="AE22" s="10">
        <v>7.1999999999999995E-2</v>
      </c>
      <c r="AF22" s="10">
        <f t="shared" si="3"/>
        <v>-0.13305662683047939</v>
      </c>
      <c r="AG22" s="10">
        <v>4</v>
      </c>
      <c r="AH22" s="10">
        <v>3</v>
      </c>
      <c r="AI22" s="12">
        <v>1</v>
      </c>
      <c r="AJ22" s="12">
        <v>3</v>
      </c>
      <c r="AK22" s="12">
        <v>0.25</v>
      </c>
      <c r="AL22" s="12">
        <v>0.25</v>
      </c>
      <c r="AM22" s="12">
        <f t="shared" si="4"/>
        <v>0</v>
      </c>
      <c r="AN22" s="12">
        <v>4</v>
      </c>
      <c r="AO22" s="12">
        <v>1</v>
      </c>
      <c r="AP22" s="10">
        <v>1</v>
      </c>
      <c r="AQ22" s="10">
        <v>3</v>
      </c>
      <c r="AR22" s="10">
        <v>1.2E-2</v>
      </c>
      <c r="AS22" s="10">
        <v>1.2E-2</v>
      </c>
      <c r="AT22" s="10">
        <f t="shared" si="5"/>
        <v>0</v>
      </c>
      <c r="AU22" s="10">
        <v>4</v>
      </c>
      <c r="AV22" s="10">
        <v>10</v>
      </c>
      <c r="AW22" s="12">
        <v>1</v>
      </c>
      <c r="AX22" s="12">
        <v>3</v>
      </c>
      <c r="AY22" s="12">
        <v>0.41499999999999998</v>
      </c>
      <c r="AZ22" s="12">
        <v>0.41499999999999998</v>
      </c>
      <c r="BA22" s="12">
        <f t="shared" si="6"/>
        <v>0</v>
      </c>
      <c r="BB22" s="12">
        <v>4</v>
      </c>
      <c r="BC22" s="12">
        <v>9</v>
      </c>
      <c r="BD22" s="10">
        <v>0</v>
      </c>
      <c r="BE22" s="10">
        <v>0</v>
      </c>
      <c r="BF22" s="10">
        <f>77/700</f>
        <v>0.11</v>
      </c>
      <c r="BG22" s="10">
        <v>8.4000000000000005E-2</v>
      </c>
      <c r="BH22" s="10">
        <f t="shared" si="7"/>
        <v>0.11711339909634338</v>
      </c>
      <c r="BI22" s="10">
        <v>4</v>
      </c>
      <c r="BJ22" s="10">
        <v>2</v>
      </c>
      <c r="BK22" s="12">
        <v>1</v>
      </c>
      <c r="BL22" s="12">
        <v>3</v>
      </c>
      <c r="BM22" s="12">
        <v>0.29199999999999998</v>
      </c>
      <c r="BN22" s="12">
        <v>0.29199999999999998</v>
      </c>
      <c r="BO22" s="12">
        <f t="shared" si="8"/>
        <v>0</v>
      </c>
      <c r="BP22" s="12">
        <v>4</v>
      </c>
      <c r="BQ22" s="12">
        <v>4</v>
      </c>
      <c r="BR22" s="10">
        <v>1</v>
      </c>
      <c r="BS22" s="10">
        <v>3</v>
      </c>
      <c r="BT22" s="10">
        <v>7.0000000000000007E-2</v>
      </c>
      <c r="BU22" s="10">
        <v>7.0000000000000007E-2</v>
      </c>
      <c r="BV22" s="10">
        <f t="shared" si="9"/>
        <v>0</v>
      </c>
      <c r="BW22" s="10">
        <v>2</v>
      </c>
      <c r="BX22" s="10">
        <v>7</v>
      </c>
      <c r="BY22" s="12">
        <v>1</v>
      </c>
      <c r="BZ22" s="12">
        <v>3</v>
      </c>
      <c r="CA22" s="12">
        <v>0.32</v>
      </c>
      <c r="CB22" s="12">
        <v>0.32</v>
      </c>
      <c r="CC22" s="12">
        <f t="shared" si="10"/>
        <v>0</v>
      </c>
      <c r="CD22" s="12">
        <v>3</v>
      </c>
      <c r="CE22" s="12">
        <v>5</v>
      </c>
      <c r="CF22" s="32">
        <f t="shared" si="11"/>
        <v>8</v>
      </c>
      <c r="CG22" s="5">
        <f t="shared" si="12"/>
        <v>25</v>
      </c>
      <c r="CH22" s="5">
        <f t="shared" si="13"/>
        <v>-1.5943227734136005E-3</v>
      </c>
      <c r="CI22" s="13" t="s">
        <v>61</v>
      </c>
      <c r="CJ22" s="3">
        <v>2</v>
      </c>
      <c r="CK22" s="3">
        <v>4</v>
      </c>
      <c r="CL22" s="3">
        <v>5</v>
      </c>
      <c r="CM22" s="3">
        <v>5</v>
      </c>
      <c r="CN22" s="3">
        <v>5</v>
      </c>
      <c r="CO22" s="8" t="s">
        <v>50</v>
      </c>
      <c r="CP22" s="8" t="s">
        <v>60</v>
      </c>
      <c r="CQ22" s="8" t="s">
        <v>51</v>
      </c>
      <c r="CR22" s="8" t="s">
        <v>52</v>
      </c>
      <c r="CS22" s="3">
        <v>-2</v>
      </c>
      <c r="CT22" s="3">
        <v>-1</v>
      </c>
      <c r="CU22" s="3">
        <v>2</v>
      </c>
      <c r="CV22" s="3">
        <v>1</v>
      </c>
      <c r="CW22" s="3">
        <v>0</v>
      </c>
      <c r="CX22" s="13" t="s">
        <v>329</v>
      </c>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row>
    <row r="23" spans="1:129" x14ac:dyDescent="0.25">
      <c r="A23">
        <v>22</v>
      </c>
      <c r="B23">
        <v>2</v>
      </c>
      <c r="C23" s="3" t="s">
        <v>75</v>
      </c>
      <c r="D23" s="3">
        <v>23</v>
      </c>
      <c r="E23" s="3" t="s">
        <v>123</v>
      </c>
      <c r="F23" s="3">
        <v>9</v>
      </c>
      <c r="G23" s="3">
        <v>8</v>
      </c>
      <c r="H23" s="3">
        <v>0</v>
      </c>
      <c r="I23" s="3">
        <v>1</v>
      </c>
      <c r="J23" s="3">
        <f>26/30</f>
        <v>0.8666666666666667</v>
      </c>
      <c r="K23" s="3">
        <v>0.23</v>
      </c>
      <c r="L23" s="3">
        <f t="shared" si="0"/>
        <v>0.57612425723356264</v>
      </c>
      <c r="M23" s="3">
        <v>4</v>
      </c>
      <c r="N23" s="10">
        <v>0</v>
      </c>
      <c r="O23" s="10">
        <v>0</v>
      </c>
      <c r="P23" s="10">
        <v>0.13600000000000001</v>
      </c>
      <c r="Q23" s="10">
        <v>0.68600000000000005</v>
      </c>
      <c r="R23" s="10">
        <f t="shared" si="1"/>
        <v>-0.70278520733653416</v>
      </c>
      <c r="S23" s="10">
        <v>2</v>
      </c>
      <c r="T23" s="10">
        <v>10</v>
      </c>
      <c r="U23" s="12">
        <v>0</v>
      </c>
      <c r="V23" s="12">
        <v>0</v>
      </c>
      <c r="W23" s="12">
        <v>0.90900000000000003</v>
      </c>
      <c r="X23" s="12">
        <v>8.0000000000000002E-3</v>
      </c>
      <c r="Y23" s="12">
        <f t="shared" si="2"/>
        <v>2.0554738962300241</v>
      </c>
      <c r="Z23" s="12">
        <v>2</v>
      </c>
      <c r="AA23" s="12">
        <v>9</v>
      </c>
      <c r="AB23" s="10">
        <v>0</v>
      </c>
      <c r="AC23" s="10">
        <v>0</v>
      </c>
      <c r="AD23" s="10">
        <f>263/1000</f>
        <v>0.26300000000000001</v>
      </c>
      <c r="AE23" s="10">
        <v>0.64</v>
      </c>
      <c r="AF23" s="10">
        <f t="shared" si="3"/>
        <v>-0.38622422549412927</v>
      </c>
      <c r="AG23" s="10">
        <v>3</v>
      </c>
      <c r="AH23" s="10">
        <v>2</v>
      </c>
      <c r="AI23" s="12">
        <v>0</v>
      </c>
      <c r="AJ23" s="12">
        <v>1</v>
      </c>
      <c r="AK23" s="12">
        <v>4.0000000000000001E-3</v>
      </c>
      <c r="AL23" s="12">
        <v>4.1000000000000003E-3</v>
      </c>
      <c r="AM23" s="12">
        <f t="shared" si="4"/>
        <v>-1.0723865391773113E-2</v>
      </c>
      <c r="AN23" s="12">
        <v>4</v>
      </c>
      <c r="AO23" s="12">
        <v>4</v>
      </c>
      <c r="AP23" s="10">
        <v>0</v>
      </c>
      <c r="AQ23" s="10">
        <v>1</v>
      </c>
      <c r="AR23" s="10">
        <v>0.20200000000000001</v>
      </c>
      <c r="AS23" s="10">
        <v>0.66300000000000003</v>
      </c>
      <c r="AT23" s="10">
        <f t="shared" si="5"/>
        <v>-0.51616215895814932</v>
      </c>
      <c r="AU23" s="10">
        <v>3</v>
      </c>
      <c r="AV23" s="10">
        <v>7</v>
      </c>
      <c r="AW23" s="12">
        <v>0</v>
      </c>
      <c r="AX23" s="12">
        <v>0</v>
      </c>
      <c r="AY23" s="12">
        <v>0.91800000000000004</v>
      </c>
      <c r="AZ23" s="12">
        <v>7.0000000000000001E-3</v>
      </c>
      <c r="BA23" s="12">
        <f t="shared" si="6"/>
        <v>2.1177446411869858</v>
      </c>
      <c r="BB23" s="12">
        <v>2</v>
      </c>
      <c r="BC23" s="12">
        <v>5</v>
      </c>
      <c r="BD23" s="10">
        <v>0</v>
      </c>
      <c r="BE23" s="10">
        <v>1</v>
      </c>
      <c r="BF23" s="10">
        <v>0.24299999999999999</v>
      </c>
      <c r="BG23" s="10">
        <v>0.75900000000000001</v>
      </c>
      <c r="BH23" s="10">
        <f t="shared" si="7"/>
        <v>-0.49463550229716818</v>
      </c>
      <c r="BI23" s="10">
        <v>3</v>
      </c>
      <c r="BJ23" s="10">
        <v>6</v>
      </c>
      <c r="BK23" s="12">
        <v>0</v>
      </c>
      <c r="BL23" s="12">
        <v>1</v>
      </c>
      <c r="BM23" s="12">
        <v>2E-3</v>
      </c>
      <c r="BN23" s="12">
        <v>2.2000000000000001E-3</v>
      </c>
      <c r="BO23" s="12">
        <f t="shared" si="8"/>
        <v>-4.1392685158225057E-2</v>
      </c>
      <c r="BP23" s="12">
        <v>3</v>
      </c>
      <c r="BQ23" s="12">
        <v>8</v>
      </c>
      <c r="BR23" s="10">
        <v>0</v>
      </c>
      <c r="BS23" s="10">
        <v>0</v>
      </c>
      <c r="BT23" s="10">
        <v>0.318</v>
      </c>
      <c r="BU23" s="10">
        <v>0.73</v>
      </c>
      <c r="BV23" s="10">
        <f t="shared" si="9"/>
        <v>-0.36089574013602316</v>
      </c>
      <c r="BW23" s="10">
        <v>3</v>
      </c>
      <c r="BX23" s="10">
        <v>3</v>
      </c>
      <c r="BY23" s="12">
        <v>0</v>
      </c>
      <c r="BZ23" s="12">
        <v>0</v>
      </c>
      <c r="CA23" s="12">
        <v>0.04</v>
      </c>
      <c r="CB23" s="12">
        <v>8.9999999999999993E-3</v>
      </c>
      <c r="CC23" s="12">
        <f t="shared" si="10"/>
        <v>0.64781748188863753</v>
      </c>
      <c r="CD23" s="12">
        <v>1</v>
      </c>
      <c r="CE23" s="12">
        <v>1</v>
      </c>
      <c r="CF23" s="4">
        <f t="shared" si="11"/>
        <v>0</v>
      </c>
      <c r="CG23" s="5">
        <f t="shared" si="12"/>
        <v>4</v>
      </c>
      <c r="CH23" s="5">
        <f t="shared" si="13"/>
        <v>0.23082166345336455</v>
      </c>
      <c r="CI23" s="13" t="s">
        <v>122</v>
      </c>
      <c r="CJ23" s="3">
        <v>2</v>
      </c>
      <c r="CK23" s="3">
        <v>4</v>
      </c>
      <c r="CL23" s="3">
        <v>5</v>
      </c>
      <c r="CM23" s="3">
        <v>3</v>
      </c>
      <c r="CN23" s="3">
        <v>4</v>
      </c>
      <c r="CO23" s="8" t="s">
        <v>50</v>
      </c>
      <c r="CP23" s="8" t="s">
        <v>52</v>
      </c>
      <c r="CQ23" s="8" t="s">
        <v>51</v>
      </c>
      <c r="CR23" s="8" t="s">
        <v>60</v>
      </c>
      <c r="CS23" s="3">
        <v>-2</v>
      </c>
      <c r="CT23" s="3">
        <v>1</v>
      </c>
      <c r="CU23" s="3">
        <v>2</v>
      </c>
      <c r="CV23" s="3">
        <v>-1</v>
      </c>
      <c r="CW23" s="3">
        <v>0</v>
      </c>
      <c r="CX23" s="13" t="s">
        <v>321</v>
      </c>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row>
    <row r="24" spans="1:129" x14ac:dyDescent="0.25">
      <c r="A24">
        <v>23</v>
      </c>
      <c r="B24">
        <v>1</v>
      </c>
      <c r="C24" s="3" t="s">
        <v>75</v>
      </c>
      <c r="D24" s="3">
        <v>21</v>
      </c>
      <c r="E24" s="3" t="s">
        <v>130</v>
      </c>
      <c r="F24" s="32">
        <v>7</v>
      </c>
      <c r="G24" s="3">
        <v>10</v>
      </c>
      <c r="H24" s="3">
        <v>0</v>
      </c>
      <c r="I24" s="3">
        <v>0</v>
      </c>
      <c r="J24" s="3">
        <v>0.03</v>
      </c>
      <c r="K24" s="3">
        <v>0.23</v>
      </c>
      <c r="L24" s="3">
        <f t="shared" si="0"/>
        <v>-0.88460658129793046</v>
      </c>
      <c r="M24" s="3">
        <v>3</v>
      </c>
      <c r="N24" s="10">
        <v>0</v>
      </c>
      <c r="O24" s="10">
        <v>0</v>
      </c>
      <c r="P24" s="10">
        <v>0.03</v>
      </c>
      <c r="Q24" s="10">
        <v>2.4E-2</v>
      </c>
      <c r="R24" s="10">
        <f t="shared" si="1"/>
        <v>9.691001300805642E-2</v>
      </c>
      <c r="S24" s="10">
        <v>1</v>
      </c>
      <c r="T24" s="10">
        <v>4</v>
      </c>
      <c r="U24" s="12">
        <v>0</v>
      </c>
      <c r="V24" s="12">
        <v>2</v>
      </c>
      <c r="W24" s="12">
        <v>3.0000000000000001E-3</v>
      </c>
      <c r="X24" s="12">
        <v>0.36299999999999999</v>
      </c>
      <c r="Y24" s="12">
        <f t="shared" si="2"/>
        <v>-2.0827853703164503</v>
      </c>
      <c r="Z24" s="12">
        <v>2</v>
      </c>
      <c r="AA24" s="12">
        <v>6</v>
      </c>
      <c r="AB24" s="10">
        <v>0</v>
      </c>
      <c r="AC24" s="10">
        <v>1</v>
      </c>
      <c r="AD24" s="10">
        <v>0.05</v>
      </c>
      <c r="AE24" s="10">
        <v>7.1999999999999995E-2</v>
      </c>
      <c r="AF24" s="10">
        <f t="shared" si="3"/>
        <v>-0.15836249209524961</v>
      </c>
      <c r="AG24" s="10">
        <v>2</v>
      </c>
      <c r="AH24" s="10">
        <v>5</v>
      </c>
      <c r="AI24" s="12">
        <v>0</v>
      </c>
      <c r="AJ24" s="12">
        <v>1</v>
      </c>
      <c r="AK24" s="12">
        <v>0.02</v>
      </c>
      <c r="AL24" s="12">
        <v>0.25</v>
      </c>
      <c r="AM24" s="12">
        <f t="shared" si="4"/>
        <v>-1.0969100130080565</v>
      </c>
      <c r="AN24" s="12">
        <v>3</v>
      </c>
      <c r="AO24" s="12">
        <v>3</v>
      </c>
      <c r="AP24" s="10">
        <v>0</v>
      </c>
      <c r="AQ24" s="10">
        <v>0</v>
      </c>
      <c r="AR24" s="10">
        <v>0.10299999999999999</v>
      </c>
      <c r="AS24" s="10">
        <v>1.2E-2</v>
      </c>
      <c r="AT24" s="10">
        <f t="shared" si="5"/>
        <v>0.93365597865754735</v>
      </c>
      <c r="AU24" s="10">
        <v>4</v>
      </c>
      <c r="AV24" s="10">
        <v>8</v>
      </c>
      <c r="AW24" s="12">
        <v>0</v>
      </c>
      <c r="AX24" s="12">
        <v>1</v>
      </c>
      <c r="AY24" s="12">
        <v>0.8</v>
      </c>
      <c r="AZ24" s="12">
        <v>0.41499999999999998</v>
      </c>
      <c r="BA24" s="12">
        <f t="shared" si="6"/>
        <v>0.28504189027985094</v>
      </c>
      <c r="BB24" s="12">
        <v>4</v>
      </c>
      <c r="BC24" s="12">
        <v>10</v>
      </c>
      <c r="BD24" s="10">
        <v>0</v>
      </c>
      <c r="BE24" s="10">
        <v>2</v>
      </c>
      <c r="BF24" s="10">
        <v>2E-3</v>
      </c>
      <c r="BG24" s="10">
        <v>8.4000000000000005E-2</v>
      </c>
      <c r="BH24" s="10">
        <f t="shared" si="7"/>
        <v>-1.6232492903979006</v>
      </c>
      <c r="BI24" s="10">
        <v>2</v>
      </c>
      <c r="BJ24" s="10">
        <v>1</v>
      </c>
      <c r="BK24" s="12">
        <v>0</v>
      </c>
      <c r="BL24" s="12">
        <v>1</v>
      </c>
      <c r="BM24" s="12">
        <v>1E-4</v>
      </c>
      <c r="BN24" s="12">
        <v>0.29199999999999998</v>
      </c>
      <c r="BO24" s="12">
        <f t="shared" si="8"/>
        <v>-3.4653828514484184</v>
      </c>
      <c r="BP24" s="12">
        <v>2</v>
      </c>
      <c r="BQ24" s="12">
        <v>2</v>
      </c>
      <c r="BR24" s="10">
        <v>0</v>
      </c>
      <c r="BS24" s="10">
        <v>0</v>
      </c>
      <c r="BT24" s="10">
        <v>0.63400000000000001</v>
      </c>
      <c r="BU24" s="10">
        <v>7.0000000000000007E-2</v>
      </c>
      <c r="BV24" s="10">
        <f t="shared" si="9"/>
        <v>0.95699121786747587</v>
      </c>
      <c r="BW24" s="10">
        <v>1</v>
      </c>
      <c r="BX24" s="10">
        <v>9</v>
      </c>
      <c r="BY24" s="12">
        <v>0</v>
      </c>
      <c r="BZ24" s="12">
        <v>1</v>
      </c>
      <c r="CA24" s="12">
        <v>3.2000000000000001E-2</v>
      </c>
      <c r="CB24" s="12">
        <v>0.32</v>
      </c>
      <c r="CC24" s="12">
        <f t="shared" si="10"/>
        <v>-1</v>
      </c>
      <c r="CD24" s="12">
        <v>4</v>
      </c>
      <c r="CE24" s="12">
        <v>7</v>
      </c>
      <c r="CF24" s="4">
        <f t="shared" si="11"/>
        <v>0</v>
      </c>
      <c r="CG24" s="5">
        <f t="shared" si="12"/>
        <v>9</v>
      </c>
      <c r="CH24" s="5">
        <f t="shared" si="13"/>
        <v>-0.71540909174531453</v>
      </c>
      <c r="CI24" s="13" t="s">
        <v>63</v>
      </c>
      <c r="CJ24" s="3">
        <v>4</v>
      </c>
      <c r="CK24" s="3">
        <v>4</v>
      </c>
      <c r="CL24" s="3">
        <v>3</v>
      </c>
      <c r="CM24" s="3">
        <v>2</v>
      </c>
      <c r="CN24" s="3">
        <v>2</v>
      </c>
      <c r="CO24" s="8" t="s">
        <v>59</v>
      </c>
      <c r="CP24" s="8" t="s">
        <v>52</v>
      </c>
      <c r="CQ24" s="8" t="s">
        <v>60</v>
      </c>
      <c r="CR24" s="8" t="s">
        <v>49</v>
      </c>
      <c r="CS24" s="3">
        <v>2</v>
      </c>
      <c r="CT24" s="3">
        <v>1</v>
      </c>
      <c r="CU24" s="3">
        <v>0</v>
      </c>
      <c r="CV24" s="3">
        <v>-2</v>
      </c>
      <c r="CW24" s="3">
        <v>-1</v>
      </c>
      <c r="CX24" s="13" t="s">
        <v>327</v>
      </c>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row>
    <row r="25" spans="1:129" x14ac:dyDescent="0.25">
      <c r="A25">
        <v>24</v>
      </c>
      <c r="B25">
        <v>1</v>
      </c>
      <c r="C25" s="3" t="s">
        <v>16</v>
      </c>
      <c r="D25" s="3">
        <v>23</v>
      </c>
      <c r="E25" s="3" t="s">
        <v>65</v>
      </c>
      <c r="F25" s="3">
        <v>10</v>
      </c>
      <c r="G25" s="3">
        <v>12</v>
      </c>
      <c r="H25" s="3">
        <v>0</v>
      </c>
      <c r="I25" s="3">
        <v>0</v>
      </c>
      <c r="J25" s="3">
        <v>0.09</v>
      </c>
      <c r="K25" s="3">
        <v>0.23</v>
      </c>
      <c r="L25" s="3">
        <f t="shared" si="0"/>
        <v>-0.40748532657826803</v>
      </c>
      <c r="M25" s="8">
        <v>4</v>
      </c>
      <c r="N25" s="10">
        <v>0</v>
      </c>
      <c r="O25" s="10">
        <v>1</v>
      </c>
      <c r="P25" s="10">
        <v>1.7999999999999999E-2</v>
      </c>
      <c r="Q25" s="10">
        <v>2.4E-2</v>
      </c>
      <c r="R25" s="10">
        <f t="shared" si="1"/>
        <v>-0.12493873660830002</v>
      </c>
      <c r="S25" s="10">
        <v>4</v>
      </c>
      <c r="T25" s="10">
        <v>2</v>
      </c>
      <c r="U25" s="12">
        <v>0</v>
      </c>
      <c r="V25" s="12">
        <v>1</v>
      </c>
      <c r="W25" s="12">
        <v>3.3000000000000002E-2</v>
      </c>
      <c r="X25" s="12">
        <v>0.36299999999999999</v>
      </c>
      <c r="Y25" s="12">
        <f t="shared" si="2"/>
        <v>-1.0413926851582249</v>
      </c>
      <c r="Z25" s="12">
        <v>4</v>
      </c>
      <c r="AA25" s="12">
        <v>4</v>
      </c>
      <c r="AB25" s="10">
        <v>0</v>
      </c>
      <c r="AC25" s="10">
        <v>1</v>
      </c>
      <c r="AD25" s="10">
        <v>5.2999999999999999E-2</v>
      </c>
      <c r="AE25" s="10">
        <v>7.1999999999999995E-2</v>
      </c>
      <c r="AF25" s="10">
        <f t="shared" si="3"/>
        <v>-0.13305662683047939</v>
      </c>
      <c r="AG25" s="10">
        <v>4</v>
      </c>
      <c r="AH25" s="10">
        <v>7</v>
      </c>
      <c r="AI25" s="12">
        <v>0</v>
      </c>
      <c r="AJ25" s="12">
        <v>0</v>
      </c>
      <c r="AK25" s="12">
        <v>0.12</v>
      </c>
      <c r="AL25" s="12">
        <v>0.25</v>
      </c>
      <c r="AM25" s="12">
        <f t="shared" si="4"/>
        <v>-0.31875876262441277</v>
      </c>
      <c r="AN25" s="12">
        <v>4</v>
      </c>
      <c r="AO25" s="12">
        <v>5</v>
      </c>
      <c r="AP25" s="10">
        <v>0</v>
      </c>
      <c r="AQ25" s="10">
        <v>1</v>
      </c>
      <c r="AR25" s="10">
        <v>8.0000000000000002E-3</v>
      </c>
      <c r="AS25" s="10">
        <v>1.2E-2</v>
      </c>
      <c r="AT25" s="10">
        <f t="shared" si="5"/>
        <v>-0.17609125905568127</v>
      </c>
      <c r="AU25" s="10">
        <v>4</v>
      </c>
      <c r="AV25" s="10">
        <v>6</v>
      </c>
      <c r="AW25" s="12">
        <v>0</v>
      </c>
      <c r="AX25" s="12">
        <v>1</v>
      </c>
      <c r="AY25" s="12">
        <v>3.4000000000000002E-2</v>
      </c>
      <c r="AZ25" s="12">
        <v>0.41499999999999998</v>
      </c>
      <c r="BA25" s="12">
        <f t="shared" si="6"/>
        <v>-1.0865691796698376</v>
      </c>
      <c r="BB25" s="12">
        <v>4</v>
      </c>
      <c r="BC25" s="12">
        <v>8</v>
      </c>
      <c r="BD25" s="10">
        <v>0</v>
      </c>
      <c r="BE25" s="10">
        <v>1</v>
      </c>
      <c r="BF25" s="10">
        <v>5.7000000000000002E-2</v>
      </c>
      <c r="BG25" s="10">
        <v>8.4000000000000005E-2</v>
      </c>
      <c r="BH25" s="10">
        <f t="shared" si="7"/>
        <v>-0.16840443038939024</v>
      </c>
      <c r="BI25" s="10">
        <v>4</v>
      </c>
      <c r="BJ25" s="10">
        <v>3</v>
      </c>
      <c r="BK25" s="12">
        <v>0</v>
      </c>
      <c r="BL25" s="12">
        <v>1</v>
      </c>
      <c r="BM25" s="12">
        <v>2.8000000000000001E-2</v>
      </c>
      <c r="BN25" s="12">
        <v>0.29199999999999998</v>
      </c>
      <c r="BO25" s="12">
        <f t="shared" si="8"/>
        <v>-1.018224820106199</v>
      </c>
      <c r="BP25" s="12">
        <v>3</v>
      </c>
      <c r="BQ25" s="12">
        <v>1</v>
      </c>
      <c r="BR25" s="10">
        <v>0</v>
      </c>
      <c r="BS25" s="10">
        <v>1</v>
      </c>
      <c r="BT25" s="10">
        <v>4.8000000000000001E-2</v>
      </c>
      <c r="BU25" s="10">
        <v>7.0000000000000007E-2</v>
      </c>
      <c r="BV25" s="10">
        <f t="shared" si="9"/>
        <v>-0.16385680263866967</v>
      </c>
      <c r="BW25" s="10">
        <v>4</v>
      </c>
      <c r="BX25" s="10">
        <v>10</v>
      </c>
      <c r="BY25" s="12">
        <v>0</v>
      </c>
      <c r="BZ25" s="12">
        <v>1</v>
      </c>
      <c r="CA25" s="12">
        <v>3.2000000000000001E-2</v>
      </c>
      <c r="CB25" s="12">
        <v>0.32</v>
      </c>
      <c r="CC25" s="12">
        <f t="shared" si="10"/>
        <v>-1</v>
      </c>
      <c r="CD25" s="12">
        <v>4</v>
      </c>
      <c r="CE25" s="12">
        <v>9</v>
      </c>
      <c r="CF25" s="4">
        <f t="shared" si="11"/>
        <v>0</v>
      </c>
      <c r="CG25" s="5">
        <f t="shared" si="12"/>
        <v>9</v>
      </c>
      <c r="CH25" s="5">
        <f t="shared" si="13"/>
        <v>-0.52312933030811948</v>
      </c>
      <c r="CI25" s="14" t="s">
        <v>71</v>
      </c>
      <c r="CJ25" s="8">
        <v>2</v>
      </c>
      <c r="CK25" s="8">
        <v>2</v>
      </c>
      <c r="CL25" s="8">
        <v>4</v>
      </c>
      <c r="CM25" s="8">
        <v>4</v>
      </c>
      <c r="CN25" s="8">
        <v>4</v>
      </c>
      <c r="CO25" s="8" t="s">
        <v>50</v>
      </c>
      <c r="CP25" s="8" t="s">
        <v>49</v>
      </c>
      <c r="CQ25" s="8" t="s">
        <v>51</v>
      </c>
      <c r="CR25" s="8" t="s">
        <v>52</v>
      </c>
      <c r="CS25" s="3">
        <v>-2</v>
      </c>
      <c r="CT25" s="3">
        <v>-1</v>
      </c>
      <c r="CU25" s="8">
        <v>2</v>
      </c>
      <c r="CV25" s="8">
        <v>0</v>
      </c>
      <c r="CW25" s="8">
        <v>1</v>
      </c>
      <c r="CX25" s="13" t="s">
        <v>330</v>
      </c>
      <c r="CY25" s="8"/>
      <c r="CZ25" s="8"/>
      <c r="DA25" s="8"/>
      <c r="DB25" s="8"/>
      <c r="DC25" s="8"/>
      <c r="DD25" s="8"/>
      <c r="DE25" s="8"/>
      <c r="DF25" s="8"/>
      <c r="DG25" s="8"/>
      <c r="DH25" s="8"/>
      <c r="DI25" s="8"/>
      <c r="DJ25" s="8"/>
      <c r="DK25" s="8"/>
      <c r="DL25" s="8"/>
      <c r="DM25" s="8"/>
      <c r="DN25" s="8"/>
      <c r="DO25" s="8"/>
      <c r="DP25" s="8"/>
      <c r="DQ25" s="8"/>
      <c r="DR25" s="8"/>
      <c r="DS25" s="8"/>
      <c r="DT25" s="8"/>
      <c r="DU25" s="3"/>
      <c r="DV25" s="3"/>
      <c r="DW25" s="3"/>
      <c r="DX25" s="3"/>
      <c r="DY25" s="3"/>
    </row>
    <row r="26" spans="1:129" x14ac:dyDescent="0.25">
      <c r="A26">
        <v>25</v>
      </c>
      <c r="B26">
        <v>1</v>
      </c>
      <c r="C26" s="3" t="s">
        <v>16</v>
      </c>
      <c r="D26" s="3">
        <v>25</v>
      </c>
      <c r="E26" s="3" t="s">
        <v>131</v>
      </c>
      <c r="F26" s="3">
        <v>11</v>
      </c>
      <c r="G26" s="3">
        <v>9</v>
      </c>
      <c r="H26" s="3">
        <v>0</v>
      </c>
      <c r="I26" s="3">
        <v>1</v>
      </c>
      <c r="J26" s="3">
        <v>2.5999999999999999E-2</v>
      </c>
      <c r="K26" s="3">
        <v>0.23</v>
      </c>
      <c r="L26" s="3">
        <f t="shared" si="0"/>
        <v>-0.94675448804677498</v>
      </c>
      <c r="M26" s="3">
        <v>3</v>
      </c>
      <c r="N26" s="10">
        <v>0</v>
      </c>
      <c r="O26" s="10">
        <v>1</v>
      </c>
      <c r="P26" s="10">
        <v>1.7999999999999999E-2</v>
      </c>
      <c r="Q26" s="10">
        <v>2.4E-2</v>
      </c>
      <c r="R26" s="10">
        <f t="shared" si="1"/>
        <v>-0.12493873660830002</v>
      </c>
      <c r="S26" s="10">
        <v>4</v>
      </c>
      <c r="T26" s="10">
        <v>1</v>
      </c>
      <c r="U26" s="12">
        <v>0</v>
      </c>
      <c r="V26" s="12">
        <v>1</v>
      </c>
      <c r="W26" s="12">
        <v>3.3000000000000002E-2</v>
      </c>
      <c r="X26" s="12">
        <v>0.36299999999999999</v>
      </c>
      <c r="Y26" s="12">
        <f t="shared" si="2"/>
        <v>-1.0413926851582249</v>
      </c>
      <c r="Z26" s="12">
        <v>4</v>
      </c>
      <c r="AA26" s="12">
        <v>2</v>
      </c>
      <c r="AB26" s="10">
        <v>0</v>
      </c>
      <c r="AC26" s="10">
        <v>1</v>
      </c>
      <c r="AD26" s="10">
        <v>5.2999999999999999E-2</v>
      </c>
      <c r="AE26" s="10">
        <v>7.1999999999999995E-2</v>
      </c>
      <c r="AF26" s="10">
        <f t="shared" si="3"/>
        <v>-0.13305662683047939</v>
      </c>
      <c r="AG26" s="10">
        <v>4</v>
      </c>
      <c r="AH26" s="10">
        <v>9</v>
      </c>
      <c r="AI26" s="12">
        <v>0</v>
      </c>
      <c r="AJ26" s="12">
        <v>1</v>
      </c>
      <c r="AK26" s="12">
        <v>2.5999999999999999E-2</v>
      </c>
      <c r="AL26" s="12">
        <v>0.25</v>
      </c>
      <c r="AM26" s="12">
        <f t="shared" si="4"/>
        <v>-0.98296666070121963</v>
      </c>
      <c r="AN26" s="12">
        <v>4</v>
      </c>
      <c r="AO26" s="12">
        <v>7</v>
      </c>
      <c r="AP26" s="10">
        <v>0</v>
      </c>
      <c r="AQ26" s="10">
        <v>1</v>
      </c>
      <c r="AR26" s="10">
        <v>8.0000000000000002E-3</v>
      </c>
      <c r="AS26" s="10">
        <v>1.2E-2</v>
      </c>
      <c r="AT26" s="10">
        <f t="shared" si="5"/>
        <v>-0.17609125905568127</v>
      </c>
      <c r="AU26" s="10">
        <v>4</v>
      </c>
      <c r="AV26" s="10">
        <v>4</v>
      </c>
      <c r="AW26" s="12">
        <v>0</v>
      </c>
      <c r="AX26" s="12">
        <v>1</v>
      </c>
      <c r="AY26" s="12">
        <v>3.4000000000000002E-2</v>
      </c>
      <c r="AZ26" s="12">
        <v>0.41499999999999998</v>
      </c>
      <c r="BA26" s="12">
        <f t="shared" si="6"/>
        <v>-1.0865691796698376</v>
      </c>
      <c r="BB26" s="12">
        <v>4</v>
      </c>
      <c r="BC26" s="12">
        <v>6</v>
      </c>
      <c r="BD26" s="10">
        <v>0</v>
      </c>
      <c r="BE26" s="10">
        <v>1</v>
      </c>
      <c r="BF26" s="10">
        <v>5.7000000000000002E-2</v>
      </c>
      <c r="BG26" s="10">
        <v>8.4000000000000005E-2</v>
      </c>
      <c r="BH26" s="10">
        <f t="shared" si="7"/>
        <v>-0.16840443038939024</v>
      </c>
      <c r="BI26" s="10">
        <v>3</v>
      </c>
      <c r="BJ26" s="10">
        <v>5</v>
      </c>
      <c r="BK26" s="12">
        <v>0</v>
      </c>
      <c r="BL26" s="12">
        <v>1</v>
      </c>
      <c r="BM26" s="12">
        <v>2.8000000000000001E-2</v>
      </c>
      <c r="BN26" s="12">
        <v>0.29199999999999998</v>
      </c>
      <c r="BO26" s="12">
        <f t="shared" si="8"/>
        <v>-1.018224820106199</v>
      </c>
      <c r="BP26" s="12">
        <v>4</v>
      </c>
      <c r="BQ26" s="12">
        <v>3</v>
      </c>
      <c r="BR26" s="10">
        <v>0</v>
      </c>
      <c r="BS26" s="10">
        <v>1</v>
      </c>
      <c r="BT26" s="10">
        <v>4.8000000000000001E-2</v>
      </c>
      <c r="BU26" s="10">
        <v>7.0000000000000007E-2</v>
      </c>
      <c r="BV26" s="10">
        <f t="shared" si="9"/>
        <v>-0.16385680263866967</v>
      </c>
      <c r="BW26" s="10">
        <v>4</v>
      </c>
      <c r="BX26" s="10">
        <v>8</v>
      </c>
      <c r="BY26" s="12">
        <v>0</v>
      </c>
      <c r="BZ26" s="12">
        <v>1</v>
      </c>
      <c r="CA26" s="12">
        <v>3.2000000000000001E-2</v>
      </c>
      <c r="CB26" s="12">
        <v>0.32</v>
      </c>
      <c r="CC26" s="12">
        <f t="shared" si="10"/>
        <v>-1</v>
      </c>
      <c r="CD26" s="12">
        <v>4</v>
      </c>
      <c r="CE26" s="12">
        <v>10</v>
      </c>
      <c r="CF26" s="4">
        <f t="shared" si="11"/>
        <v>0</v>
      </c>
      <c r="CG26" s="5">
        <f t="shared" si="12"/>
        <v>10</v>
      </c>
      <c r="CH26" s="5">
        <f t="shared" si="13"/>
        <v>-0.58955012011580021</v>
      </c>
      <c r="CI26" s="13" t="s">
        <v>68</v>
      </c>
      <c r="CJ26" s="3">
        <v>2</v>
      </c>
      <c r="CK26" s="3">
        <v>1</v>
      </c>
      <c r="CL26" s="3">
        <v>5</v>
      </c>
      <c r="CM26" s="3">
        <v>4</v>
      </c>
      <c r="CN26" s="3">
        <v>4</v>
      </c>
      <c r="CO26" s="8" t="s">
        <v>50</v>
      </c>
      <c r="CP26" s="8" t="s">
        <v>60</v>
      </c>
      <c r="CQ26" s="8" t="s">
        <v>51</v>
      </c>
      <c r="CR26" s="8" t="s">
        <v>52</v>
      </c>
      <c r="CS26" s="3">
        <v>-2</v>
      </c>
      <c r="CT26" s="3">
        <v>-1</v>
      </c>
      <c r="CU26" s="3">
        <v>2</v>
      </c>
      <c r="CV26" s="3">
        <v>1</v>
      </c>
      <c r="CW26" s="3">
        <v>0</v>
      </c>
      <c r="CX26" s="13" t="s">
        <v>338</v>
      </c>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row>
    <row r="27" spans="1:129" x14ac:dyDescent="0.25">
      <c r="A27">
        <v>26</v>
      </c>
      <c r="B27">
        <v>2</v>
      </c>
      <c r="C27" s="3" t="s">
        <v>75</v>
      </c>
      <c r="D27" s="3">
        <v>22</v>
      </c>
      <c r="E27" s="3" t="s">
        <v>131</v>
      </c>
      <c r="F27" s="32">
        <v>8</v>
      </c>
      <c r="G27" s="3">
        <v>12</v>
      </c>
      <c r="H27" s="3">
        <v>0</v>
      </c>
      <c r="I27" s="3">
        <v>0</v>
      </c>
      <c r="J27" s="3">
        <f>87/970</f>
        <v>8.9690721649484537E-2</v>
      </c>
      <c r="K27" s="3">
        <v>0.23</v>
      </c>
      <c r="L27" s="3">
        <f t="shared" si="0"/>
        <v>-0.40898031766521925</v>
      </c>
      <c r="M27" s="3">
        <v>2</v>
      </c>
      <c r="N27" s="10">
        <v>0</v>
      </c>
      <c r="O27" s="10">
        <v>2</v>
      </c>
      <c r="P27" s="10">
        <f>162/(162+18)</f>
        <v>0.9</v>
      </c>
      <c r="Q27" s="10">
        <v>0.68600000000000005</v>
      </c>
      <c r="R27" s="10">
        <f t="shared" si="1"/>
        <v>0.11791839373257315</v>
      </c>
      <c r="S27" s="10">
        <v>2</v>
      </c>
      <c r="T27" s="10">
        <v>8</v>
      </c>
      <c r="U27" s="12">
        <v>0</v>
      </c>
      <c r="V27" s="12">
        <v>1</v>
      </c>
      <c r="W27" s="12">
        <f>7/40</f>
        <v>0.17499999999999999</v>
      </c>
      <c r="X27" s="12">
        <v>8.0000000000000002E-3</v>
      </c>
      <c r="Y27" s="12">
        <f t="shared" si="2"/>
        <v>1.3399480616943509</v>
      </c>
      <c r="Z27" s="12">
        <v>2</v>
      </c>
      <c r="AA27" s="12">
        <v>10</v>
      </c>
      <c r="AB27" s="10">
        <v>0</v>
      </c>
      <c r="AC27" s="10">
        <v>2</v>
      </c>
      <c r="AD27" s="10">
        <f>167/(167+53)</f>
        <v>0.75909090909090904</v>
      </c>
      <c r="AE27" s="10">
        <v>0.64</v>
      </c>
      <c r="AF27" s="10">
        <f t="shared" si="3"/>
        <v>7.4113816341489863E-2</v>
      </c>
      <c r="AG27" s="10">
        <v>1</v>
      </c>
      <c r="AH27" s="10">
        <v>1</v>
      </c>
      <c r="AI27" s="12">
        <v>0</v>
      </c>
      <c r="AJ27" s="12">
        <v>1</v>
      </c>
      <c r="AK27" s="12">
        <f>4/30</f>
        <v>0.13333333333333333</v>
      </c>
      <c r="AL27" s="12">
        <v>4.1000000000000003E-3</v>
      </c>
      <c r="AM27" s="12">
        <f t="shared" si="4"/>
        <v>1.5121548798885645</v>
      </c>
      <c r="AN27" s="12">
        <v>2</v>
      </c>
      <c r="AO27" s="12">
        <v>2</v>
      </c>
      <c r="AP27" s="10">
        <v>0</v>
      </c>
      <c r="AQ27" s="10">
        <v>1</v>
      </c>
      <c r="AR27" s="10">
        <f>202/210</f>
        <v>0.96190476190476193</v>
      </c>
      <c r="AS27" s="10">
        <v>0.66300000000000003</v>
      </c>
      <c r="AT27" s="10">
        <f t="shared" si="5"/>
        <v>0.16161854630793135</v>
      </c>
      <c r="AU27" s="10">
        <v>2</v>
      </c>
      <c r="AV27" s="10">
        <v>9</v>
      </c>
      <c r="AW27" s="12">
        <v>0</v>
      </c>
      <c r="AX27" s="12">
        <v>1</v>
      </c>
      <c r="AY27" s="12">
        <f>6/40</f>
        <v>0.15</v>
      </c>
      <c r="AZ27" s="12">
        <v>7.0000000000000001E-3</v>
      </c>
      <c r="BA27" s="12">
        <f t="shared" si="6"/>
        <v>1.3309932190414244</v>
      </c>
      <c r="BB27" s="12">
        <v>2</v>
      </c>
      <c r="BC27" s="12">
        <v>7</v>
      </c>
      <c r="BD27" s="10">
        <v>0</v>
      </c>
      <c r="BE27" s="10">
        <v>1</v>
      </c>
      <c r="BF27" s="10">
        <v>0.24299999999999999</v>
      </c>
      <c r="BG27" s="10">
        <v>0.75900000000000001</v>
      </c>
      <c r="BH27" s="10">
        <f t="shared" si="7"/>
        <v>-0.49463550229716818</v>
      </c>
      <c r="BI27" s="10">
        <v>2</v>
      </c>
      <c r="BJ27" s="10">
        <v>4</v>
      </c>
      <c r="BK27" s="12">
        <v>0</v>
      </c>
      <c r="BL27" s="12">
        <v>1</v>
      </c>
      <c r="BM27" s="12">
        <f>2/30</f>
        <v>6.6666666666666666E-2</v>
      </c>
      <c r="BN27" s="12">
        <v>2.2000000000000001E-3</v>
      </c>
      <c r="BO27" s="12">
        <f t="shared" si="8"/>
        <v>1.4814860601221125</v>
      </c>
      <c r="BP27" s="12">
        <v>2</v>
      </c>
      <c r="BQ27" s="12">
        <v>6</v>
      </c>
      <c r="BR27" s="10">
        <v>0</v>
      </c>
      <c r="BS27" s="10">
        <v>1</v>
      </c>
      <c r="BT27" s="10">
        <f>232/280</f>
        <v>0.82857142857142863</v>
      </c>
      <c r="BU27" s="10">
        <v>0.73</v>
      </c>
      <c r="BV27" s="10">
        <f t="shared" si="9"/>
        <v>5.5007093428224609E-2</v>
      </c>
      <c r="BW27" s="10">
        <v>2</v>
      </c>
      <c r="BX27" s="10">
        <v>5</v>
      </c>
      <c r="BY27" s="12">
        <v>0</v>
      </c>
      <c r="BZ27" s="12">
        <v>1</v>
      </c>
      <c r="CA27" s="12">
        <f>8/40</f>
        <v>0.2</v>
      </c>
      <c r="CB27" s="12">
        <v>8.9999999999999993E-3</v>
      </c>
      <c r="CC27" s="12">
        <f t="shared" si="10"/>
        <v>1.3467874862246563</v>
      </c>
      <c r="CD27" s="12">
        <v>2</v>
      </c>
      <c r="CE27" s="12">
        <v>3</v>
      </c>
      <c r="CF27" s="4">
        <f t="shared" si="11"/>
        <v>0</v>
      </c>
      <c r="CG27" s="5">
        <f t="shared" si="12"/>
        <v>12</v>
      </c>
      <c r="CH27" s="5">
        <f t="shared" si="13"/>
        <v>0.69253920544841596</v>
      </c>
      <c r="CI27" s="13" t="s">
        <v>58</v>
      </c>
      <c r="CJ27" s="3">
        <v>2</v>
      </c>
      <c r="CK27" s="3">
        <v>2</v>
      </c>
      <c r="CL27" s="3">
        <v>4</v>
      </c>
      <c r="CM27" s="3">
        <v>4</v>
      </c>
      <c r="CN27" s="3">
        <v>4</v>
      </c>
      <c r="CO27" s="8" t="s">
        <v>50</v>
      </c>
      <c r="CP27" s="8" t="s">
        <v>49</v>
      </c>
      <c r="CQ27" s="8" t="s">
        <v>51</v>
      </c>
      <c r="CR27" s="8" t="s">
        <v>52</v>
      </c>
      <c r="CS27" s="3">
        <v>-2</v>
      </c>
      <c r="CT27" s="3">
        <v>-1</v>
      </c>
      <c r="CU27" s="3">
        <v>2</v>
      </c>
      <c r="CV27" s="3">
        <v>0</v>
      </c>
      <c r="CW27" s="3">
        <v>1</v>
      </c>
      <c r="CX27" s="13" t="s">
        <v>132</v>
      </c>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row>
    <row r="28" spans="1:129" x14ac:dyDescent="0.25">
      <c r="A28">
        <v>27</v>
      </c>
      <c r="B28">
        <v>1</v>
      </c>
      <c r="C28" s="3" t="s">
        <v>75</v>
      </c>
      <c r="D28" s="3">
        <v>22</v>
      </c>
      <c r="E28" s="3" t="s">
        <v>133</v>
      </c>
      <c r="F28" s="3">
        <v>9</v>
      </c>
      <c r="G28" s="3">
        <v>10</v>
      </c>
      <c r="H28" s="3">
        <v>0</v>
      </c>
      <c r="I28" s="3">
        <v>0</v>
      </c>
      <c r="J28" s="3">
        <f>30/1000</f>
        <v>0.03</v>
      </c>
      <c r="K28" s="3">
        <v>0.23</v>
      </c>
      <c r="L28" s="3">
        <f t="shared" si="0"/>
        <v>-0.88460658129793046</v>
      </c>
      <c r="M28" s="3">
        <v>1</v>
      </c>
      <c r="N28" s="10">
        <v>0</v>
      </c>
      <c r="O28" s="10">
        <v>1</v>
      </c>
      <c r="P28" s="10">
        <v>1.7999999999999999E-2</v>
      </c>
      <c r="Q28" s="10">
        <v>2.4E-2</v>
      </c>
      <c r="R28" s="10">
        <f t="shared" si="1"/>
        <v>-0.12493873660830002</v>
      </c>
      <c r="S28" s="10">
        <v>4</v>
      </c>
      <c r="T28" s="10">
        <v>3</v>
      </c>
      <c r="U28" s="12">
        <v>0</v>
      </c>
      <c r="V28" s="12">
        <v>1</v>
      </c>
      <c r="W28" s="12">
        <v>3.3000000000000002E-2</v>
      </c>
      <c r="X28" s="12">
        <v>0.36299999999999999</v>
      </c>
      <c r="Y28" s="12">
        <f t="shared" si="2"/>
        <v>-1.0413926851582249</v>
      </c>
      <c r="Z28" s="12">
        <v>4</v>
      </c>
      <c r="AA28" s="12">
        <v>10</v>
      </c>
      <c r="AB28" s="10">
        <v>0</v>
      </c>
      <c r="AC28" s="10">
        <v>0</v>
      </c>
      <c r="AD28" s="10">
        <f>91/1000</f>
        <v>9.0999999999999998E-2</v>
      </c>
      <c r="AE28" s="10">
        <v>7.1999999999999995E-2</v>
      </c>
      <c r="AF28" s="10">
        <f t="shared" si="3"/>
        <v>0.10170889588982512</v>
      </c>
      <c r="AG28" s="10">
        <v>3</v>
      </c>
      <c r="AH28" s="10">
        <v>1</v>
      </c>
      <c r="AI28" s="12">
        <v>0</v>
      </c>
      <c r="AJ28" s="12">
        <v>0</v>
      </c>
      <c r="AK28" s="12">
        <f>(24+4)/1000</f>
        <v>2.8000000000000001E-2</v>
      </c>
      <c r="AL28" s="12">
        <v>0.25</v>
      </c>
      <c r="AM28" s="12">
        <f t="shared" si="4"/>
        <v>-0.9507819773298184</v>
      </c>
      <c r="AN28" s="12">
        <v>3</v>
      </c>
      <c r="AO28" s="12">
        <v>9</v>
      </c>
      <c r="AP28" s="10">
        <v>0</v>
      </c>
      <c r="AQ28" s="10">
        <v>1</v>
      </c>
      <c r="AR28" s="10">
        <f>8/1000</f>
        <v>8.0000000000000002E-3</v>
      </c>
      <c r="AS28" s="10">
        <v>1.2E-2</v>
      </c>
      <c r="AT28" s="10">
        <f t="shared" si="5"/>
        <v>-0.17609125905568127</v>
      </c>
      <c r="AU28" s="10">
        <v>4</v>
      </c>
      <c r="AV28" s="10">
        <v>2</v>
      </c>
      <c r="AW28" s="12">
        <v>0</v>
      </c>
      <c r="AX28" s="12">
        <v>1</v>
      </c>
      <c r="AY28" s="12">
        <v>3.4000000000000002E-2</v>
      </c>
      <c r="AZ28" s="12">
        <v>0.41499999999999998</v>
      </c>
      <c r="BA28" s="12">
        <f t="shared" si="6"/>
        <v>-1.0865691796698376</v>
      </c>
      <c r="BB28" s="12">
        <v>4</v>
      </c>
      <c r="BC28" s="12">
        <v>4</v>
      </c>
      <c r="BD28" s="10">
        <v>0</v>
      </c>
      <c r="BE28" s="10">
        <v>1</v>
      </c>
      <c r="BF28" s="10">
        <v>5.7000000000000002E-2</v>
      </c>
      <c r="BG28" s="10">
        <v>8.4000000000000005E-2</v>
      </c>
      <c r="BH28" s="10">
        <f t="shared" si="7"/>
        <v>-0.16840443038939024</v>
      </c>
      <c r="BI28" s="10">
        <v>2</v>
      </c>
      <c r="BJ28" s="10">
        <v>7</v>
      </c>
      <c r="BK28" s="12">
        <v>0</v>
      </c>
      <c r="BL28" s="12">
        <v>1</v>
      </c>
      <c r="BM28" s="12">
        <v>2.8000000000000001E-2</v>
      </c>
      <c r="BN28" s="12">
        <v>0.29199999999999998</v>
      </c>
      <c r="BO28" s="12">
        <f t="shared" si="8"/>
        <v>-1.018224820106199</v>
      </c>
      <c r="BP28" s="12">
        <v>2</v>
      </c>
      <c r="BQ28" s="12">
        <v>5</v>
      </c>
      <c r="BR28" s="10">
        <v>0</v>
      </c>
      <c r="BS28" s="10">
        <v>1</v>
      </c>
      <c r="BT28" s="10">
        <v>4.8000000000000001E-2</v>
      </c>
      <c r="BU28" s="10">
        <v>7.0000000000000007E-2</v>
      </c>
      <c r="BV28" s="10">
        <f t="shared" si="9"/>
        <v>-0.16385680263866967</v>
      </c>
      <c r="BW28" s="10">
        <v>3</v>
      </c>
      <c r="BX28" s="10">
        <v>6</v>
      </c>
      <c r="BY28" s="12">
        <v>0</v>
      </c>
      <c r="BZ28" s="12">
        <v>1</v>
      </c>
      <c r="CA28" s="12">
        <v>3.2000000000000001E-2</v>
      </c>
      <c r="CB28" s="12">
        <v>0.32</v>
      </c>
      <c r="CC28" s="12">
        <f t="shared" si="10"/>
        <v>-1</v>
      </c>
      <c r="CD28" s="12">
        <v>3</v>
      </c>
      <c r="CE28" s="12">
        <v>8</v>
      </c>
      <c r="CF28" s="4">
        <f t="shared" si="11"/>
        <v>0</v>
      </c>
      <c r="CG28" s="5">
        <f t="shared" si="12"/>
        <v>8</v>
      </c>
      <c r="CH28" s="5">
        <f t="shared" si="13"/>
        <v>-0.56285509950662949</v>
      </c>
      <c r="CI28" s="13" t="s">
        <v>162</v>
      </c>
      <c r="CJ28" s="3">
        <v>2</v>
      </c>
      <c r="CK28" s="3">
        <v>2</v>
      </c>
      <c r="CL28" s="3">
        <v>5</v>
      </c>
      <c r="CM28" s="3">
        <v>4</v>
      </c>
      <c r="CN28" s="3">
        <v>5</v>
      </c>
      <c r="CO28" s="8" t="s">
        <v>50</v>
      </c>
      <c r="CP28" s="8" t="s">
        <v>49</v>
      </c>
      <c r="CQ28" s="8" t="s">
        <v>51</v>
      </c>
      <c r="CR28" s="8" t="s">
        <v>52</v>
      </c>
      <c r="CS28" s="3">
        <v>-2</v>
      </c>
      <c r="CT28" s="3">
        <v>-1</v>
      </c>
      <c r="CU28" s="3">
        <v>2</v>
      </c>
      <c r="CV28" s="3">
        <v>0</v>
      </c>
      <c r="CW28" s="3">
        <v>1</v>
      </c>
      <c r="CX28" s="13" t="s">
        <v>134</v>
      </c>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row>
    <row r="29" spans="1:129" x14ac:dyDescent="0.25">
      <c r="A29">
        <v>28</v>
      </c>
      <c r="B29">
        <v>2</v>
      </c>
      <c r="C29" s="3" t="s">
        <v>75</v>
      </c>
      <c r="D29" s="3">
        <v>27</v>
      </c>
      <c r="E29" s="3" t="s">
        <v>133</v>
      </c>
      <c r="F29" s="32">
        <v>6</v>
      </c>
      <c r="G29" s="3">
        <v>9</v>
      </c>
      <c r="H29" s="3">
        <v>0</v>
      </c>
      <c r="I29" s="3">
        <v>0</v>
      </c>
      <c r="J29" s="3">
        <v>0.113</v>
      </c>
      <c r="K29" s="3">
        <v>0.23</v>
      </c>
      <c r="L29" s="3">
        <f t="shared" si="0"/>
        <v>-0.30864939253417317</v>
      </c>
      <c r="M29" s="3">
        <v>2</v>
      </c>
      <c r="N29" s="10">
        <v>0</v>
      </c>
      <c r="O29" s="10">
        <v>1</v>
      </c>
      <c r="P29" s="10">
        <v>0.16200000000000001</v>
      </c>
      <c r="Q29" s="10">
        <v>0.68600000000000005</v>
      </c>
      <c r="R29" s="10">
        <f t="shared" si="1"/>
        <v>-0.62680910116412081</v>
      </c>
      <c r="S29" s="10">
        <v>2</v>
      </c>
      <c r="T29" s="10">
        <v>6</v>
      </c>
      <c r="U29" s="12">
        <v>0</v>
      </c>
      <c r="V29" s="12">
        <v>1</v>
      </c>
      <c r="W29" s="12">
        <v>7.0000000000000001E-3</v>
      </c>
      <c r="X29" s="12">
        <v>8.0000000000000002E-3</v>
      </c>
      <c r="Y29" s="12">
        <f t="shared" si="2"/>
        <v>-5.7991946977686754E-2</v>
      </c>
      <c r="Z29" s="12">
        <v>2</v>
      </c>
      <c r="AA29" s="12">
        <v>8</v>
      </c>
      <c r="AB29" s="10">
        <v>0</v>
      </c>
      <c r="AC29" s="10">
        <v>0</v>
      </c>
      <c r="AD29" s="10">
        <v>0.26100000000000001</v>
      </c>
      <c r="AE29" s="10">
        <v>0.64</v>
      </c>
      <c r="AF29" s="10">
        <f t="shared" si="3"/>
        <v>-0.38953946664560618</v>
      </c>
      <c r="AG29" s="10">
        <v>1</v>
      </c>
      <c r="AH29" s="10">
        <v>3</v>
      </c>
      <c r="AI29" s="12">
        <v>0</v>
      </c>
      <c r="AJ29" s="12">
        <v>0</v>
      </c>
      <c r="AK29" s="12">
        <v>0.89600000000000002</v>
      </c>
      <c r="AL29" s="12">
        <v>4.1000000000000003E-3</v>
      </c>
      <c r="AM29" s="12">
        <f t="shared" si="4"/>
        <v>2.3395241529423898</v>
      </c>
      <c r="AN29" s="12">
        <v>2</v>
      </c>
      <c r="AO29" s="12">
        <v>1</v>
      </c>
      <c r="AP29" s="10">
        <v>0</v>
      </c>
      <c r="AQ29" s="10">
        <v>1</v>
      </c>
      <c r="AR29" s="10">
        <f>202/210</f>
        <v>0.96190476190476193</v>
      </c>
      <c r="AS29" s="10">
        <v>0.66300000000000003</v>
      </c>
      <c r="AT29" s="10">
        <f t="shared" si="5"/>
        <v>0.16161854630793135</v>
      </c>
      <c r="AU29" s="10">
        <v>3</v>
      </c>
      <c r="AV29" s="10">
        <v>10</v>
      </c>
      <c r="AW29" s="12">
        <v>0</v>
      </c>
      <c r="AX29" s="12">
        <v>1</v>
      </c>
      <c r="AY29" s="12">
        <f>6/40</f>
        <v>0.15</v>
      </c>
      <c r="AZ29" s="12">
        <v>7.0000000000000001E-3</v>
      </c>
      <c r="BA29" s="12">
        <f t="shared" si="6"/>
        <v>1.3309932190414244</v>
      </c>
      <c r="BB29" s="12">
        <v>2</v>
      </c>
      <c r="BC29" s="12">
        <v>9</v>
      </c>
      <c r="BD29" s="10">
        <v>0</v>
      </c>
      <c r="BE29" s="10">
        <v>1</v>
      </c>
      <c r="BF29" s="10">
        <v>0.24299999999999999</v>
      </c>
      <c r="BG29" s="10">
        <v>0.75900000000000001</v>
      </c>
      <c r="BH29" s="10">
        <f t="shared" si="7"/>
        <v>-0.49463550229716818</v>
      </c>
      <c r="BI29" s="10">
        <v>2</v>
      </c>
      <c r="BJ29" s="10">
        <v>2</v>
      </c>
      <c r="BK29" s="12">
        <v>0</v>
      </c>
      <c r="BL29" s="12">
        <v>1</v>
      </c>
      <c r="BM29" s="12">
        <f>2/30</f>
        <v>6.6666666666666666E-2</v>
      </c>
      <c r="BN29" s="12">
        <v>2.2000000000000001E-3</v>
      </c>
      <c r="BO29" s="12">
        <f t="shared" si="8"/>
        <v>1.4814860601221125</v>
      </c>
      <c r="BP29" s="12">
        <v>2</v>
      </c>
      <c r="BQ29" s="12">
        <v>4</v>
      </c>
      <c r="BR29" s="10">
        <v>0</v>
      </c>
      <c r="BS29" s="10">
        <v>1</v>
      </c>
      <c r="BT29" s="10">
        <v>0.23200000000000001</v>
      </c>
      <c r="BU29" s="10">
        <v>0.73</v>
      </c>
      <c r="BV29" s="10">
        <f t="shared" si="9"/>
        <v>-0.49783487522955622</v>
      </c>
      <c r="BW29" s="10">
        <v>2</v>
      </c>
      <c r="BX29" s="10">
        <v>7</v>
      </c>
      <c r="BY29" s="12">
        <v>0</v>
      </c>
      <c r="BZ29" s="12">
        <v>1</v>
      </c>
      <c r="CA29" s="12">
        <v>8.0000000000000002E-3</v>
      </c>
      <c r="CB29" s="12">
        <v>8.9999999999999993E-3</v>
      </c>
      <c r="CC29" s="12">
        <f t="shared" si="10"/>
        <v>-5.1152522447381256E-2</v>
      </c>
      <c r="CD29" s="12">
        <v>2</v>
      </c>
      <c r="CE29" s="12">
        <v>5</v>
      </c>
      <c r="CF29" s="4">
        <f t="shared" si="11"/>
        <v>0</v>
      </c>
      <c r="CG29" s="5">
        <f t="shared" si="12"/>
        <v>8</v>
      </c>
      <c r="CH29" s="5">
        <f t="shared" si="13"/>
        <v>0.31956585636523388</v>
      </c>
      <c r="CI29" s="13" t="s">
        <v>61</v>
      </c>
      <c r="CJ29" s="3">
        <v>3</v>
      </c>
      <c r="CK29" s="3">
        <v>2</v>
      </c>
      <c r="CL29" s="3">
        <v>4</v>
      </c>
      <c r="CM29" s="3">
        <v>3</v>
      </c>
      <c r="CN29" s="3">
        <v>3</v>
      </c>
      <c r="CO29" s="8" t="s">
        <v>50</v>
      </c>
      <c r="CP29" s="8" t="s">
        <v>49</v>
      </c>
      <c r="CQ29" s="8" t="s">
        <v>51</v>
      </c>
      <c r="CR29" s="8" t="s">
        <v>52</v>
      </c>
      <c r="CS29" s="3">
        <v>-2</v>
      </c>
      <c r="CT29" s="3">
        <v>-1</v>
      </c>
      <c r="CU29" s="3">
        <v>2</v>
      </c>
      <c r="CV29" s="3">
        <v>0</v>
      </c>
      <c r="CW29" s="3">
        <v>1</v>
      </c>
      <c r="CX29" s="13" t="s">
        <v>323</v>
      </c>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row>
    <row r="30" spans="1:129" x14ac:dyDescent="0.25">
      <c r="A30">
        <v>29</v>
      </c>
      <c r="B30">
        <v>1</v>
      </c>
      <c r="C30" s="3" t="s">
        <v>16</v>
      </c>
      <c r="D30" s="3">
        <v>24</v>
      </c>
      <c r="E30" s="3" t="s">
        <v>15</v>
      </c>
      <c r="F30" s="3">
        <v>11</v>
      </c>
      <c r="G30" s="3">
        <v>12</v>
      </c>
      <c r="H30" s="3">
        <v>0</v>
      </c>
      <c r="I30" s="3">
        <v>0</v>
      </c>
      <c r="J30" s="3">
        <v>0.113</v>
      </c>
      <c r="K30" s="3">
        <v>0.23</v>
      </c>
      <c r="L30" s="3">
        <f t="shared" si="0"/>
        <v>-0.30864939253417317</v>
      </c>
      <c r="M30" s="3">
        <v>3</v>
      </c>
      <c r="N30" s="10">
        <v>0</v>
      </c>
      <c r="O30" s="10">
        <v>1</v>
      </c>
      <c r="P30" s="10">
        <v>1.7999999999999999E-2</v>
      </c>
      <c r="Q30" s="10">
        <v>2.4E-2</v>
      </c>
      <c r="R30" s="10">
        <f t="shared" si="1"/>
        <v>-0.12493873660830002</v>
      </c>
      <c r="S30" s="10">
        <v>3</v>
      </c>
      <c r="T30" s="10">
        <v>5</v>
      </c>
      <c r="U30" s="12">
        <v>0</v>
      </c>
      <c r="V30" s="12">
        <v>1</v>
      </c>
      <c r="W30" s="12">
        <v>3.3000000000000002E-2</v>
      </c>
      <c r="X30" s="12">
        <v>0.36299999999999999</v>
      </c>
      <c r="Y30" s="12">
        <f t="shared" si="2"/>
        <v>-1.0413926851582249</v>
      </c>
      <c r="Z30" s="12">
        <v>3</v>
      </c>
      <c r="AA30" s="12">
        <v>3</v>
      </c>
      <c r="AB30" s="10">
        <v>0</v>
      </c>
      <c r="AC30" s="10">
        <v>1</v>
      </c>
      <c r="AD30" s="10">
        <f>53/220</f>
        <v>0.24090909090909091</v>
      </c>
      <c r="AE30" s="10">
        <v>7.1999999999999995E-2</v>
      </c>
      <c r="AF30" s="10">
        <f t="shared" si="3"/>
        <v>0.52452069234731435</v>
      </c>
      <c r="AG30" s="10">
        <v>3</v>
      </c>
      <c r="AH30" s="10">
        <v>8</v>
      </c>
      <c r="AI30" s="12">
        <v>0</v>
      </c>
      <c r="AJ30" s="12">
        <v>1</v>
      </c>
      <c r="AK30" s="12">
        <f>26/30</f>
        <v>0.8666666666666667</v>
      </c>
      <c r="AL30" s="12">
        <v>0.25</v>
      </c>
      <c r="AM30" s="12">
        <f t="shared" si="4"/>
        <v>0.53991208457911788</v>
      </c>
      <c r="AN30" s="12">
        <v>3</v>
      </c>
      <c r="AO30" s="12">
        <v>10</v>
      </c>
      <c r="AP30" s="10">
        <v>0</v>
      </c>
      <c r="AQ30" s="10">
        <v>1</v>
      </c>
      <c r="AR30" s="10">
        <v>8.0000000000000002E-3</v>
      </c>
      <c r="AS30" s="10">
        <v>1.2E-2</v>
      </c>
      <c r="AT30" s="10">
        <f t="shared" si="5"/>
        <v>-0.17609125905568127</v>
      </c>
      <c r="AU30" s="10">
        <v>4</v>
      </c>
      <c r="AV30" s="10">
        <v>1</v>
      </c>
      <c r="AW30" s="12">
        <v>0</v>
      </c>
      <c r="AX30" s="12">
        <v>1</v>
      </c>
      <c r="AY30" s="12">
        <v>3.4000000000000002E-2</v>
      </c>
      <c r="AZ30" s="12">
        <v>0.41499999999999998</v>
      </c>
      <c r="BA30" s="12">
        <f t="shared" si="6"/>
        <v>-1.0865691796698376</v>
      </c>
      <c r="BB30" s="12">
        <v>3</v>
      </c>
      <c r="BC30" s="12">
        <v>2</v>
      </c>
      <c r="BD30" s="10">
        <v>0</v>
      </c>
      <c r="BE30" s="10">
        <v>1</v>
      </c>
      <c r="BF30" s="10">
        <f>57/300</f>
        <v>0.19</v>
      </c>
      <c r="BG30" s="10">
        <v>8.4000000000000005E-2</v>
      </c>
      <c r="BH30" s="10">
        <f t="shared" si="7"/>
        <v>0.35447431489094727</v>
      </c>
      <c r="BI30" s="10">
        <v>3</v>
      </c>
      <c r="BJ30" s="10">
        <v>9</v>
      </c>
      <c r="BK30" s="12">
        <v>0</v>
      </c>
      <c r="BL30" s="12">
        <v>1</v>
      </c>
      <c r="BM30" s="12">
        <f>20/30</f>
        <v>0.66666666666666663</v>
      </c>
      <c r="BN30" s="12">
        <v>0.29199999999999998</v>
      </c>
      <c r="BO30" s="12">
        <f t="shared" si="8"/>
        <v>0.35852588949590047</v>
      </c>
      <c r="BP30" s="12">
        <v>3</v>
      </c>
      <c r="BQ30" s="12">
        <v>7</v>
      </c>
      <c r="BR30" s="10">
        <v>0</v>
      </c>
      <c r="BS30" s="10">
        <v>1</v>
      </c>
      <c r="BT30" s="10">
        <v>4.8000000000000001E-2</v>
      </c>
      <c r="BU30" s="10">
        <v>7.0000000000000007E-2</v>
      </c>
      <c r="BV30" s="10">
        <f t="shared" si="9"/>
        <v>-0.16385680263866967</v>
      </c>
      <c r="BW30" s="10">
        <v>3</v>
      </c>
      <c r="BX30" s="10">
        <v>4</v>
      </c>
      <c r="BY30" s="12">
        <v>1</v>
      </c>
      <c r="BZ30" s="12">
        <v>3</v>
      </c>
      <c r="CA30" s="12">
        <v>0.32</v>
      </c>
      <c r="CB30" s="12">
        <v>0.32</v>
      </c>
      <c r="CC30" s="12">
        <f t="shared" si="10"/>
        <v>0</v>
      </c>
      <c r="CD30" s="12">
        <v>2</v>
      </c>
      <c r="CE30" s="12">
        <v>6</v>
      </c>
      <c r="CF30" s="32">
        <f t="shared" si="11"/>
        <v>1</v>
      </c>
      <c r="CG30" s="5">
        <f t="shared" si="12"/>
        <v>12</v>
      </c>
      <c r="CH30" s="5">
        <f t="shared" si="13"/>
        <v>-8.1541568181743324E-2</v>
      </c>
      <c r="CI30" s="13" t="s">
        <v>110</v>
      </c>
      <c r="CJ30" s="3">
        <v>3</v>
      </c>
      <c r="CK30" s="3">
        <v>3</v>
      </c>
      <c r="CL30" s="3">
        <v>4</v>
      </c>
      <c r="CM30" s="3">
        <v>4</v>
      </c>
      <c r="CN30" s="3">
        <v>5</v>
      </c>
      <c r="CO30" s="8" t="s">
        <v>50</v>
      </c>
      <c r="CP30" s="8" t="s">
        <v>49</v>
      </c>
      <c r="CQ30" s="8" t="s">
        <v>51</v>
      </c>
      <c r="CR30" s="8" t="s">
        <v>52</v>
      </c>
      <c r="CS30" s="3">
        <v>-2</v>
      </c>
      <c r="CT30" s="3">
        <v>-1</v>
      </c>
      <c r="CU30" s="3">
        <v>2</v>
      </c>
      <c r="CV30" s="3">
        <v>0</v>
      </c>
      <c r="CW30" s="3">
        <v>1</v>
      </c>
      <c r="CX30" s="13" t="s">
        <v>135</v>
      </c>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row>
    <row r="31" spans="1:129" x14ac:dyDescent="0.25">
      <c r="A31">
        <v>30</v>
      </c>
      <c r="B31">
        <v>2</v>
      </c>
      <c r="C31" s="3" t="s">
        <v>75</v>
      </c>
      <c r="D31" s="3">
        <v>21</v>
      </c>
      <c r="E31" s="3" t="s">
        <v>128</v>
      </c>
      <c r="F31" s="32">
        <v>7</v>
      </c>
      <c r="G31" s="3">
        <v>6</v>
      </c>
      <c r="H31" s="3">
        <v>0</v>
      </c>
      <c r="I31" s="3">
        <v>0</v>
      </c>
      <c r="J31" s="3">
        <v>0.68</v>
      </c>
      <c r="K31" s="3">
        <v>0.23</v>
      </c>
      <c r="L31" s="3">
        <f t="shared" si="0"/>
        <v>0.4707810766886435</v>
      </c>
      <c r="M31" s="3">
        <v>2</v>
      </c>
      <c r="N31" s="10">
        <v>0</v>
      </c>
      <c r="O31" s="10">
        <v>1</v>
      </c>
      <c r="P31" s="10">
        <f>162/620</f>
        <v>0.26129032258064516</v>
      </c>
      <c r="Q31" s="10">
        <v>0.68600000000000005</v>
      </c>
      <c r="R31" s="10">
        <f t="shared" si="1"/>
        <v>-0.41920079066237464</v>
      </c>
      <c r="S31" s="10">
        <v>1</v>
      </c>
      <c r="T31" s="10">
        <v>4</v>
      </c>
      <c r="U31" s="12">
        <v>0</v>
      </c>
      <c r="V31" s="12">
        <v>1</v>
      </c>
      <c r="W31" s="12">
        <f>7/98</f>
        <v>7.1428571428571425E-2</v>
      </c>
      <c r="X31" s="12">
        <v>8.0000000000000002E-3</v>
      </c>
      <c r="Y31" s="12">
        <f t="shared" si="2"/>
        <v>0.95078197732981828</v>
      </c>
      <c r="Z31" s="12">
        <v>1</v>
      </c>
      <c r="AA31" s="12">
        <v>6</v>
      </c>
      <c r="AB31" s="10">
        <v>0</v>
      </c>
      <c r="AC31" s="10">
        <v>1</v>
      </c>
      <c r="AD31" s="10">
        <f>167/314</f>
        <v>0.53184713375796178</v>
      </c>
      <c r="AE31" s="10">
        <v>0.64</v>
      </c>
      <c r="AF31" s="10">
        <f t="shared" si="3"/>
        <v>-8.0393150909518818E-2</v>
      </c>
      <c r="AG31" s="10">
        <v>1</v>
      </c>
      <c r="AH31" s="10">
        <v>5</v>
      </c>
      <c r="AI31" s="12">
        <v>0</v>
      </c>
      <c r="AJ31" s="12">
        <v>0</v>
      </c>
      <c r="AK31" s="12">
        <f>4/30</f>
        <v>0.13333333333333333</v>
      </c>
      <c r="AL31" s="12">
        <v>4.1000000000000003E-3</v>
      </c>
      <c r="AM31" s="12">
        <f t="shared" si="4"/>
        <v>1.5121548798885645</v>
      </c>
      <c r="AN31" s="12">
        <v>1</v>
      </c>
      <c r="AO31" s="12">
        <v>3</v>
      </c>
      <c r="AP31" s="10">
        <v>0</v>
      </c>
      <c r="AQ31" s="10">
        <v>0</v>
      </c>
      <c r="AR31" s="10">
        <f>8/210</f>
        <v>3.8095238095238099E-2</v>
      </c>
      <c r="AS31" s="10">
        <v>0.66300000000000003</v>
      </c>
      <c r="AT31" s="10">
        <f t="shared" si="5"/>
        <v>-1.2406428361467488</v>
      </c>
      <c r="AU31" s="10">
        <v>2</v>
      </c>
      <c r="AV31" s="10">
        <v>8</v>
      </c>
      <c r="AW31" s="12">
        <v>0</v>
      </c>
      <c r="AX31" s="12">
        <v>0</v>
      </c>
      <c r="AY31" s="12">
        <f>240/40</f>
        <v>6</v>
      </c>
      <c r="AZ31" s="12">
        <v>7.0000000000000001E-3</v>
      </c>
      <c r="BA31" s="12">
        <f t="shared" si="6"/>
        <v>2.9330532103693869</v>
      </c>
      <c r="BB31" s="12">
        <v>1</v>
      </c>
      <c r="BC31" s="12">
        <v>10</v>
      </c>
      <c r="BD31" s="10">
        <v>0</v>
      </c>
      <c r="BE31" s="10">
        <v>0</v>
      </c>
      <c r="BF31" s="10">
        <f>57/300</f>
        <v>0.19</v>
      </c>
      <c r="BG31" s="10">
        <v>0.75900000000000001</v>
      </c>
      <c r="BH31" s="10">
        <f t="shared" si="7"/>
        <v>-0.60148817494265139</v>
      </c>
      <c r="BI31" s="10">
        <v>2</v>
      </c>
      <c r="BJ31" s="10">
        <v>1</v>
      </c>
      <c r="BK31" s="12">
        <v>0</v>
      </c>
      <c r="BL31" s="12">
        <v>0</v>
      </c>
      <c r="BM31" s="12">
        <f>902/970</f>
        <v>0.92989690721649487</v>
      </c>
      <c r="BN31" s="12">
        <v>2.2000000000000001E-3</v>
      </c>
      <c r="BO31" s="12">
        <f t="shared" si="8"/>
        <v>2.6260121224534907</v>
      </c>
      <c r="BP31" s="12">
        <v>2</v>
      </c>
      <c r="BQ31" s="12">
        <v>2</v>
      </c>
      <c r="BR31" s="10">
        <v>0</v>
      </c>
      <c r="BS31" s="10">
        <v>0</v>
      </c>
      <c r="BT31" s="10">
        <f>28/232</f>
        <v>0.1206896551724138</v>
      </c>
      <c r="BU31" s="10">
        <v>0.73</v>
      </c>
      <c r="BV31" s="10">
        <f t="shared" si="9"/>
        <v>-0.7816528136691363</v>
      </c>
      <c r="BW31" s="10">
        <v>2</v>
      </c>
      <c r="BX31" s="10">
        <v>9</v>
      </c>
      <c r="BY31" s="12">
        <v>0</v>
      </c>
      <c r="BZ31" s="12">
        <v>0</v>
      </c>
      <c r="CA31" s="12">
        <f>40/893</f>
        <v>4.4792833146696527E-2</v>
      </c>
      <c r="CB31" s="12">
        <v>8.9999999999999993E-3</v>
      </c>
      <c r="CC31" s="12">
        <f t="shared" si="10"/>
        <v>0.69696602300009114</v>
      </c>
      <c r="CD31" s="12">
        <v>1</v>
      </c>
      <c r="CE31" s="12">
        <v>7</v>
      </c>
      <c r="CF31" s="4">
        <f t="shared" si="11"/>
        <v>0</v>
      </c>
      <c r="CG31" s="5">
        <f t="shared" si="12"/>
        <v>3</v>
      </c>
      <c r="CH31" s="5">
        <f t="shared" si="13"/>
        <v>0.55955904467109208</v>
      </c>
      <c r="CI31" s="13" t="s">
        <v>63</v>
      </c>
      <c r="CJ31" s="3">
        <v>1</v>
      </c>
      <c r="CK31" s="3">
        <v>1</v>
      </c>
      <c r="CL31" s="3">
        <v>3</v>
      </c>
      <c r="CM31" s="3">
        <v>3</v>
      </c>
      <c r="CN31" s="3">
        <v>2</v>
      </c>
      <c r="CO31" s="8" t="s">
        <v>50</v>
      </c>
      <c r="CP31" s="8" t="s">
        <v>49</v>
      </c>
      <c r="CQ31" s="8" t="s">
        <v>52</v>
      </c>
      <c r="CR31" s="8" t="s">
        <v>51</v>
      </c>
      <c r="CS31" s="3">
        <v>-1</v>
      </c>
      <c r="CT31" s="3">
        <v>-2</v>
      </c>
      <c r="CU31" s="3">
        <v>2</v>
      </c>
      <c r="CV31" s="3">
        <v>0</v>
      </c>
      <c r="CW31" s="3">
        <v>1</v>
      </c>
      <c r="CX31" s="13" t="s">
        <v>136</v>
      </c>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row>
    <row r="32" spans="1:129" x14ac:dyDescent="0.25">
      <c r="A32">
        <v>31</v>
      </c>
      <c r="B32">
        <v>1</v>
      </c>
      <c r="C32" s="3" t="s">
        <v>16</v>
      </c>
      <c r="D32" s="3">
        <v>38</v>
      </c>
      <c r="E32" s="3" t="s">
        <v>15</v>
      </c>
      <c r="F32" s="3">
        <v>11</v>
      </c>
      <c r="G32" s="3">
        <v>11</v>
      </c>
      <c r="H32" s="3">
        <v>0</v>
      </c>
      <c r="I32" s="3">
        <v>1</v>
      </c>
      <c r="J32" s="3">
        <f>26/30</f>
        <v>0.8666666666666667</v>
      </c>
      <c r="K32" s="3">
        <v>0.23</v>
      </c>
      <c r="L32" s="3">
        <f t="shared" si="0"/>
        <v>0.57612425723356264</v>
      </c>
      <c r="M32" s="3">
        <v>4</v>
      </c>
      <c r="N32" s="10">
        <v>0</v>
      </c>
      <c r="O32" s="10">
        <v>1</v>
      </c>
      <c r="P32" s="10">
        <v>1.7999999999999999E-2</v>
      </c>
      <c r="Q32" s="10">
        <v>2.4E-2</v>
      </c>
      <c r="R32" s="10">
        <f t="shared" si="1"/>
        <v>-0.12493873660830002</v>
      </c>
      <c r="S32" s="10">
        <v>4</v>
      </c>
      <c r="T32" s="10">
        <v>7</v>
      </c>
      <c r="U32" s="12">
        <v>0</v>
      </c>
      <c r="V32" s="12">
        <v>1</v>
      </c>
      <c r="W32" s="12">
        <v>3.3000000000000002E-2</v>
      </c>
      <c r="X32" s="12">
        <v>0.36299999999999999</v>
      </c>
      <c r="Y32" s="12">
        <f t="shared" si="2"/>
        <v>-1.0413926851582249</v>
      </c>
      <c r="Z32" s="12">
        <v>4</v>
      </c>
      <c r="AA32" s="12">
        <v>5</v>
      </c>
      <c r="AB32" s="10">
        <v>0</v>
      </c>
      <c r="AC32" s="10">
        <v>1</v>
      </c>
      <c r="AD32" s="10">
        <v>5.2999999999999999E-2</v>
      </c>
      <c r="AE32" s="10">
        <v>7.1999999999999995E-2</v>
      </c>
      <c r="AF32" s="10">
        <f t="shared" si="3"/>
        <v>-0.13305662683047939</v>
      </c>
      <c r="AG32" s="10">
        <v>4</v>
      </c>
      <c r="AH32" s="10">
        <v>6</v>
      </c>
      <c r="AI32" s="12">
        <v>0</v>
      </c>
      <c r="AJ32" s="12">
        <v>1</v>
      </c>
      <c r="AK32" s="12">
        <v>2.5999999999999999E-2</v>
      </c>
      <c r="AL32" s="12">
        <v>0.25</v>
      </c>
      <c r="AM32" s="12">
        <f t="shared" si="4"/>
        <v>-0.98296666070121963</v>
      </c>
      <c r="AN32" s="12">
        <v>4</v>
      </c>
      <c r="AO32" s="12">
        <v>8</v>
      </c>
      <c r="AP32" s="10">
        <v>0</v>
      </c>
      <c r="AQ32" s="10">
        <v>1</v>
      </c>
      <c r="AR32" s="10">
        <f>8/210</f>
        <v>3.8095238095238099E-2</v>
      </c>
      <c r="AS32" s="10">
        <v>1.2E-2</v>
      </c>
      <c r="AT32" s="10">
        <f t="shared" si="5"/>
        <v>0.50168944621039957</v>
      </c>
      <c r="AU32" s="10">
        <v>4</v>
      </c>
      <c r="AV32" s="10">
        <v>3</v>
      </c>
      <c r="AW32" s="12">
        <v>0</v>
      </c>
      <c r="AX32" s="12">
        <v>1</v>
      </c>
      <c r="AY32" s="12">
        <f>34/40</f>
        <v>0.85</v>
      </c>
      <c r="AZ32" s="12">
        <v>0.41499999999999998</v>
      </c>
      <c r="BA32" s="12">
        <f t="shared" si="6"/>
        <v>0.31137082900220003</v>
      </c>
      <c r="BB32" s="12">
        <v>4</v>
      </c>
      <c r="BC32" s="12">
        <v>1</v>
      </c>
      <c r="BD32" s="10">
        <v>0</v>
      </c>
      <c r="BE32" s="10">
        <v>1</v>
      </c>
      <c r="BF32" s="10">
        <v>5.7000000000000002E-2</v>
      </c>
      <c r="BG32" s="10">
        <v>8.4000000000000005E-2</v>
      </c>
      <c r="BH32" s="10">
        <f t="shared" si="7"/>
        <v>-0.16840443038939024</v>
      </c>
      <c r="BI32" s="10">
        <v>4</v>
      </c>
      <c r="BJ32" s="10">
        <v>10</v>
      </c>
      <c r="BK32" s="12">
        <v>0</v>
      </c>
      <c r="BL32" s="12">
        <v>1</v>
      </c>
      <c r="BM32" s="12">
        <v>2.8000000000000001E-2</v>
      </c>
      <c r="BN32" s="12">
        <v>0.29199999999999998</v>
      </c>
      <c r="BO32" s="12">
        <f t="shared" si="8"/>
        <v>-1.018224820106199</v>
      </c>
      <c r="BP32" s="12">
        <v>4</v>
      </c>
      <c r="BQ32" s="12">
        <v>9</v>
      </c>
      <c r="BR32" s="10">
        <v>0</v>
      </c>
      <c r="BS32" s="10">
        <v>1</v>
      </c>
      <c r="BT32" s="10">
        <f>48/280</f>
        <v>0.17142857142857143</v>
      </c>
      <c r="BU32" s="10">
        <v>7.0000000000000007E-2</v>
      </c>
      <c r="BV32" s="10">
        <f t="shared" si="9"/>
        <v>0.38898516601911109</v>
      </c>
      <c r="BW32" s="10">
        <v>4</v>
      </c>
      <c r="BX32" s="10">
        <v>2</v>
      </c>
      <c r="BY32" s="12">
        <v>0</v>
      </c>
      <c r="BZ32" s="12">
        <v>1</v>
      </c>
      <c r="CA32" s="12">
        <f>32/40</f>
        <v>0.8</v>
      </c>
      <c r="CB32" s="12">
        <v>0.32</v>
      </c>
      <c r="CC32" s="12">
        <f t="shared" si="10"/>
        <v>0.3979400086720376</v>
      </c>
      <c r="CD32" s="12">
        <v>4</v>
      </c>
      <c r="CE32" s="12">
        <v>4</v>
      </c>
      <c r="CF32" s="4">
        <f t="shared" si="11"/>
        <v>0</v>
      </c>
      <c r="CG32" s="5">
        <f t="shared" si="12"/>
        <v>10</v>
      </c>
      <c r="CH32" s="5">
        <f t="shared" si="13"/>
        <v>-0.18689985098900647</v>
      </c>
      <c r="CI32" s="13" t="s">
        <v>113</v>
      </c>
      <c r="CJ32" s="3">
        <v>1</v>
      </c>
      <c r="CK32" s="3">
        <v>3</v>
      </c>
      <c r="CL32" s="3">
        <v>5</v>
      </c>
      <c r="CM32" s="3">
        <v>3</v>
      </c>
      <c r="CN32" s="3">
        <v>4</v>
      </c>
      <c r="CO32" s="8" t="s">
        <v>50</v>
      </c>
      <c r="CP32" s="8" t="s">
        <v>49</v>
      </c>
      <c r="CQ32" s="8" t="s">
        <v>51</v>
      </c>
      <c r="CR32" s="8" t="s">
        <v>60</v>
      </c>
      <c r="CS32" s="3">
        <v>-2</v>
      </c>
      <c r="CT32" s="3">
        <v>0</v>
      </c>
      <c r="CU32" s="3">
        <v>2</v>
      </c>
      <c r="CV32" s="3">
        <v>-1</v>
      </c>
      <c r="CW32" s="3">
        <v>1</v>
      </c>
      <c r="CX32" s="13" t="s">
        <v>137</v>
      </c>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row>
    <row r="33" spans="1:129" x14ac:dyDescent="0.25">
      <c r="A33">
        <v>32</v>
      </c>
      <c r="B33">
        <v>2</v>
      </c>
      <c r="C33" s="3" t="s">
        <v>75</v>
      </c>
      <c r="D33" s="3">
        <v>23</v>
      </c>
      <c r="E33" s="3" t="s">
        <v>131</v>
      </c>
      <c r="F33" s="3">
        <v>9</v>
      </c>
      <c r="G33" s="3">
        <v>12</v>
      </c>
      <c r="H33" s="3">
        <v>0</v>
      </c>
      <c r="I33" s="3">
        <v>0</v>
      </c>
      <c r="J33" s="3">
        <f>907/980</f>
        <v>0.92551020408163265</v>
      </c>
      <c r="K33" s="3">
        <v>0.23</v>
      </c>
      <c r="L33" s="3">
        <f t="shared" si="0"/>
        <v>0.60465337535000752</v>
      </c>
      <c r="M33" s="3">
        <v>1</v>
      </c>
      <c r="N33" s="10">
        <v>0</v>
      </c>
      <c r="O33" s="10">
        <v>0</v>
      </c>
      <c r="P33" s="10">
        <f>236/254</f>
        <v>0.92913385826771655</v>
      </c>
      <c r="Q33" s="10">
        <v>0.68600000000000005</v>
      </c>
      <c r="R33" s="10">
        <f t="shared" si="1"/>
        <v>0.13175417064341682</v>
      </c>
      <c r="S33" s="10">
        <v>3</v>
      </c>
      <c r="T33" s="10">
        <v>2</v>
      </c>
      <c r="U33" s="12">
        <v>0</v>
      </c>
      <c r="V33" s="12">
        <v>1</v>
      </c>
      <c r="W33" s="12">
        <f>7/98</f>
        <v>7.1428571428571425E-2</v>
      </c>
      <c r="X33" s="12">
        <v>8.0000000000000002E-3</v>
      </c>
      <c r="Y33" s="12">
        <f t="shared" si="2"/>
        <v>0.95078197732981828</v>
      </c>
      <c r="Z33" s="12">
        <v>2</v>
      </c>
      <c r="AA33" s="12">
        <v>4</v>
      </c>
      <c r="AB33" s="10">
        <v>0</v>
      </c>
      <c r="AC33" s="10">
        <v>1</v>
      </c>
      <c r="AD33" s="10">
        <v>0.16700000000000001</v>
      </c>
      <c r="AE33" s="10">
        <v>0.64</v>
      </c>
      <c r="AF33" s="10">
        <f t="shared" si="3"/>
        <v>-0.58346350283630388</v>
      </c>
      <c r="AG33" s="10">
        <v>2</v>
      </c>
      <c r="AH33" s="10">
        <v>7</v>
      </c>
      <c r="AI33" s="12">
        <v>0</v>
      </c>
      <c r="AJ33" s="12">
        <v>1</v>
      </c>
      <c r="AK33" s="12">
        <v>0.04</v>
      </c>
      <c r="AL33" s="12">
        <v>4.1000000000000003E-3</v>
      </c>
      <c r="AM33" s="12">
        <f t="shared" si="4"/>
        <v>0.98927613460822683</v>
      </c>
      <c r="AN33" s="12">
        <v>2</v>
      </c>
      <c r="AO33" s="12">
        <v>5</v>
      </c>
      <c r="AP33" s="10">
        <v>0</v>
      </c>
      <c r="AQ33" s="10">
        <v>0</v>
      </c>
      <c r="AR33" s="10">
        <v>0.10299999999999999</v>
      </c>
      <c r="AS33" s="10">
        <v>0.66300000000000003</v>
      </c>
      <c r="AT33" s="10">
        <f t="shared" si="5"/>
        <v>-0.80867630369960097</v>
      </c>
      <c r="AU33" s="10">
        <v>3</v>
      </c>
      <c r="AV33" s="10">
        <v>6</v>
      </c>
      <c r="AW33" s="12">
        <v>0</v>
      </c>
      <c r="AX33" s="12">
        <v>1</v>
      </c>
      <c r="AY33" s="12">
        <v>6.0000000000000001E-3</v>
      </c>
      <c r="AZ33" s="12">
        <v>7.0000000000000001E-3</v>
      </c>
      <c r="BA33" s="12">
        <f t="shared" si="6"/>
        <v>-6.6946789630613221E-2</v>
      </c>
      <c r="BB33" s="12">
        <v>2</v>
      </c>
      <c r="BC33" s="12">
        <v>8</v>
      </c>
      <c r="BD33" s="10">
        <v>0</v>
      </c>
      <c r="BE33" s="10">
        <v>0</v>
      </c>
      <c r="BF33" s="10">
        <v>0.3</v>
      </c>
      <c r="BG33" s="10">
        <v>0.75900000000000001</v>
      </c>
      <c r="BH33" s="10">
        <f t="shared" si="7"/>
        <v>-0.40312052117581793</v>
      </c>
      <c r="BI33" s="10">
        <v>3</v>
      </c>
      <c r="BJ33" s="10">
        <v>3</v>
      </c>
      <c r="BK33" s="12">
        <v>0</v>
      </c>
      <c r="BL33" s="12">
        <v>1</v>
      </c>
      <c r="BM33" s="12">
        <v>2E-3</v>
      </c>
      <c r="BN33" s="12">
        <v>2.2000000000000001E-3</v>
      </c>
      <c r="BO33" s="12">
        <f t="shared" si="8"/>
        <v>-4.1392685158225057E-2</v>
      </c>
      <c r="BP33" s="12">
        <v>2</v>
      </c>
      <c r="BQ33" s="12">
        <v>1</v>
      </c>
      <c r="BR33" s="10">
        <v>0</v>
      </c>
      <c r="BS33" s="10">
        <v>1</v>
      </c>
      <c r="BT33" s="10">
        <f>232/280</f>
        <v>0.82857142857142863</v>
      </c>
      <c r="BU33" s="10">
        <v>0.73</v>
      </c>
      <c r="BV33" s="10">
        <f t="shared" si="9"/>
        <v>5.5007093428224609E-2</v>
      </c>
      <c r="BW33" s="10">
        <v>3</v>
      </c>
      <c r="BX33" s="10">
        <v>10</v>
      </c>
      <c r="BY33" s="12">
        <v>0</v>
      </c>
      <c r="BZ33" s="12">
        <v>1</v>
      </c>
      <c r="CA33" s="12">
        <f>8/40</f>
        <v>0.2</v>
      </c>
      <c r="CB33" s="12">
        <v>8.9999999999999993E-3</v>
      </c>
      <c r="CC33" s="12">
        <f t="shared" si="10"/>
        <v>1.3467874862246563</v>
      </c>
      <c r="CD33" s="12">
        <v>3</v>
      </c>
      <c r="CE33" s="12">
        <v>9</v>
      </c>
      <c r="CF33" s="4">
        <f t="shared" si="11"/>
        <v>0</v>
      </c>
      <c r="CG33" s="5">
        <f t="shared" si="12"/>
        <v>7</v>
      </c>
      <c r="CH33" s="5">
        <f t="shared" si="13"/>
        <v>0.15700070597337817</v>
      </c>
      <c r="CI33" s="13" t="s">
        <v>71</v>
      </c>
      <c r="CJ33" s="3">
        <v>3</v>
      </c>
      <c r="CK33" s="3">
        <v>1</v>
      </c>
      <c r="CL33" s="3">
        <v>4</v>
      </c>
      <c r="CM33" s="3">
        <v>3</v>
      </c>
      <c r="CN33" s="3">
        <v>2</v>
      </c>
      <c r="CO33" s="8" t="s">
        <v>50</v>
      </c>
      <c r="CP33" s="8" t="s">
        <v>59</v>
      </c>
      <c r="CQ33" s="8" t="s">
        <v>52</v>
      </c>
      <c r="CR33" s="8" t="s">
        <v>60</v>
      </c>
      <c r="CS33" s="3">
        <v>1</v>
      </c>
      <c r="CT33" s="3">
        <v>-2</v>
      </c>
      <c r="CU33" s="3">
        <v>2</v>
      </c>
      <c r="CV33" s="3">
        <v>-1</v>
      </c>
      <c r="CW33" s="3">
        <v>0</v>
      </c>
      <c r="CX33" s="13" t="s">
        <v>324</v>
      </c>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row>
    <row r="34" spans="1:129" x14ac:dyDescent="0.25">
      <c r="A34">
        <v>33</v>
      </c>
      <c r="B34">
        <v>1</v>
      </c>
      <c r="C34" s="3" t="s">
        <v>16</v>
      </c>
      <c r="D34" s="3">
        <v>23</v>
      </c>
      <c r="E34" s="3" t="s">
        <v>125</v>
      </c>
      <c r="F34" s="3">
        <v>10</v>
      </c>
      <c r="G34" s="3">
        <v>11</v>
      </c>
      <c r="H34" s="3">
        <v>0</v>
      </c>
      <c r="I34" s="3">
        <v>2</v>
      </c>
      <c r="J34" s="3">
        <f>26/87</f>
        <v>0.2988505747126437</v>
      </c>
      <c r="K34" s="3">
        <v>0.23</v>
      </c>
      <c r="L34" s="3">
        <f t="shared" si="0"/>
        <v>0.11372625933460659</v>
      </c>
      <c r="M34" s="3">
        <v>3</v>
      </c>
      <c r="N34" s="10">
        <v>0</v>
      </c>
      <c r="O34" s="10">
        <v>1</v>
      </c>
      <c r="P34" s="10">
        <f>18/838</f>
        <v>2.1479713603818614E-2</v>
      </c>
      <c r="Q34" s="10">
        <v>2.4E-2</v>
      </c>
      <c r="R34" s="10">
        <f t="shared" si="1"/>
        <v>-4.8182755238576493E-2</v>
      </c>
      <c r="S34" s="10">
        <v>3</v>
      </c>
      <c r="T34" s="10">
        <v>9</v>
      </c>
      <c r="U34" s="12">
        <v>1</v>
      </c>
      <c r="V34" s="12">
        <v>3</v>
      </c>
      <c r="W34" s="12">
        <v>0.36299999999999999</v>
      </c>
      <c r="X34" s="12">
        <v>0.36299999999999999</v>
      </c>
      <c r="Y34" s="12">
        <f t="shared" si="2"/>
        <v>0</v>
      </c>
      <c r="Z34" s="12">
        <v>4</v>
      </c>
      <c r="AA34" s="12">
        <v>7</v>
      </c>
      <c r="AB34" s="10">
        <v>0</v>
      </c>
      <c r="AC34" s="10">
        <v>1</v>
      </c>
      <c r="AD34" s="10">
        <f>53/220</f>
        <v>0.24090909090909091</v>
      </c>
      <c r="AE34" s="10">
        <v>7.1999999999999995E-2</v>
      </c>
      <c r="AF34" s="10">
        <f t="shared" si="3"/>
        <v>0.52452069234731435</v>
      </c>
      <c r="AG34" s="10">
        <v>2</v>
      </c>
      <c r="AH34" s="10">
        <v>4</v>
      </c>
      <c r="AI34" s="12">
        <v>0</v>
      </c>
      <c r="AJ34" s="12">
        <v>0</v>
      </c>
      <c r="AK34" s="12">
        <v>4.0000000000000001E-3</v>
      </c>
      <c r="AL34" s="12">
        <v>0.25</v>
      </c>
      <c r="AM34" s="12">
        <f t="shared" si="4"/>
        <v>-1.7958800173440752</v>
      </c>
      <c r="AN34" s="12">
        <v>2</v>
      </c>
      <c r="AO34" s="12">
        <v>6</v>
      </c>
      <c r="AP34" s="10">
        <v>0</v>
      </c>
      <c r="AQ34" s="10">
        <v>1</v>
      </c>
      <c r="AR34" s="10">
        <v>8.0000000000000002E-3</v>
      </c>
      <c r="AS34" s="10">
        <v>1.2E-2</v>
      </c>
      <c r="AT34" s="10">
        <f t="shared" si="5"/>
        <v>-0.17609125905568127</v>
      </c>
      <c r="AU34" s="10">
        <v>3</v>
      </c>
      <c r="AV34" s="10">
        <v>5</v>
      </c>
      <c r="AW34" s="12">
        <v>1</v>
      </c>
      <c r="AX34" s="12">
        <v>3</v>
      </c>
      <c r="AY34" s="12">
        <v>0.41499999999999998</v>
      </c>
      <c r="AZ34" s="12">
        <v>0.41499999999999998</v>
      </c>
      <c r="BA34" s="12">
        <f t="shared" si="6"/>
        <v>0</v>
      </c>
      <c r="BB34" s="12">
        <v>4</v>
      </c>
      <c r="BC34" s="12">
        <v>3</v>
      </c>
      <c r="BD34" s="10">
        <v>0</v>
      </c>
      <c r="BE34" s="10">
        <v>2</v>
      </c>
      <c r="BF34" s="10">
        <f>57/623</f>
        <v>9.1492776886035312E-2</v>
      </c>
      <c r="BG34" s="10">
        <v>8.4000000000000005E-2</v>
      </c>
      <c r="BH34" s="10">
        <f t="shared" si="7"/>
        <v>3.7107522951440118E-2</v>
      </c>
      <c r="BI34" s="10">
        <v>3</v>
      </c>
      <c r="BJ34" s="10">
        <v>8</v>
      </c>
      <c r="BK34" s="12">
        <v>0</v>
      </c>
      <c r="BL34" s="12">
        <v>1</v>
      </c>
      <c r="BM34" s="12">
        <f>28/96</f>
        <v>0.29166666666666669</v>
      </c>
      <c r="BN34" s="12">
        <v>0.29199999999999998</v>
      </c>
      <c r="BO34" s="12">
        <f t="shared" si="8"/>
        <v>-4.960531457674053E-4</v>
      </c>
      <c r="BP34" s="12">
        <v>4</v>
      </c>
      <c r="BQ34" s="12">
        <v>10</v>
      </c>
      <c r="BR34" s="10">
        <v>0</v>
      </c>
      <c r="BS34" s="10">
        <v>2</v>
      </c>
      <c r="BT34" s="10">
        <f>48/634</f>
        <v>7.5709779179810727E-2</v>
      </c>
      <c r="BU34" s="10">
        <v>7.0000000000000007E-2</v>
      </c>
      <c r="BV34" s="10">
        <f t="shared" si="9"/>
        <v>3.4053939479597686E-2</v>
      </c>
      <c r="BW34" s="10">
        <v>2</v>
      </c>
      <c r="BX34" s="10">
        <v>1</v>
      </c>
      <c r="BY34" s="12">
        <v>0</v>
      </c>
      <c r="BZ34" s="12">
        <v>2</v>
      </c>
      <c r="CA34" s="12">
        <f>8/99</f>
        <v>8.0808080808080815E-2</v>
      </c>
      <c r="CB34" s="12">
        <v>0.32</v>
      </c>
      <c r="CC34" s="12">
        <f t="shared" si="10"/>
        <v>-0.5976951859255123</v>
      </c>
      <c r="CD34" s="12">
        <v>4</v>
      </c>
      <c r="CE34" s="12">
        <v>2</v>
      </c>
      <c r="CF34" s="32">
        <f t="shared" si="11"/>
        <v>2</v>
      </c>
      <c r="CG34" s="5">
        <f t="shared" si="12"/>
        <v>16</v>
      </c>
      <c r="CH34" s="5">
        <f t="shared" si="13"/>
        <v>-0.20226631159312602</v>
      </c>
      <c r="CI34" s="13" t="s">
        <v>127</v>
      </c>
      <c r="CJ34" s="3">
        <v>1</v>
      </c>
      <c r="CK34" s="3">
        <v>3</v>
      </c>
      <c r="CL34" s="3">
        <v>5</v>
      </c>
      <c r="CM34" s="3">
        <v>2</v>
      </c>
      <c r="CN34" s="3">
        <v>3</v>
      </c>
      <c r="CO34" s="8" t="s">
        <v>50</v>
      </c>
      <c r="CP34" s="8" t="s">
        <v>52</v>
      </c>
      <c r="CQ34" s="8" t="s">
        <v>51</v>
      </c>
      <c r="CR34" s="8" t="s">
        <v>60</v>
      </c>
      <c r="CS34" s="3">
        <v>-2</v>
      </c>
      <c r="CT34" s="3">
        <v>1</v>
      </c>
      <c r="CU34" s="3">
        <v>2</v>
      </c>
      <c r="CV34" s="3">
        <v>-1</v>
      </c>
      <c r="CW34" s="3">
        <v>0</v>
      </c>
      <c r="CX34" s="13" t="s">
        <v>325</v>
      </c>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row>
    <row r="35" spans="1:129" x14ac:dyDescent="0.25">
      <c r="A35">
        <v>34</v>
      </c>
      <c r="B35">
        <v>2</v>
      </c>
      <c r="C35" s="3" t="s">
        <v>16</v>
      </c>
      <c r="D35" s="3">
        <v>24</v>
      </c>
      <c r="E35" s="3" t="s">
        <v>138</v>
      </c>
      <c r="F35" s="3">
        <v>10</v>
      </c>
      <c r="G35" s="3">
        <v>8</v>
      </c>
      <c r="H35" s="3">
        <v>0</v>
      </c>
      <c r="I35" s="3">
        <v>0</v>
      </c>
      <c r="J35" s="3">
        <f>87/970</f>
        <v>8.9690721649484537E-2</v>
      </c>
      <c r="K35" s="3">
        <v>0.23</v>
      </c>
      <c r="L35" s="3">
        <f t="shared" si="0"/>
        <v>-0.40898031766521925</v>
      </c>
      <c r="M35" s="3">
        <v>2</v>
      </c>
      <c r="N35" s="10">
        <v>0</v>
      </c>
      <c r="O35" s="10">
        <v>0</v>
      </c>
      <c r="P35" s="10">
        <f>(162+74)/1000</f>
        <v>0.23599999999999999</v>
      </c>
      <c r="Q35" s="10">
        <v>0.68600000000000005</v>
      </c>
      <c r="R35" s="10">
        <f t="shared" si="1"/>
        <v>-0.46341211273664518</v>
      </c>
      <c r="S35" s="10">
        <v>3</v>
      </c>
      <c r="T35" s="10">
        <v>1</v>
      </c>
      <c r="U35" s="12">
        <v>0</v>
      </c>
      <c r="V35" s="12">
        <v>1</v>
      </c>
      <c r="W35" s="12">
        <v>7.0000000000000001E-3</v>
      </c>
      <c r="X35" s="12">
        <v>8.0000000000000002E-3</v>
      </c>
      <c r="Y35" s="12">
        <f t="shared" si="2"/>
        <v>-5.7991946977686754E-2</v>
      </c>
      <c r="Z35" s="12">
        <v>3</v>
      </c>
      <c r="AA35" s="12">
        <v>2</v>
      </c>
      <c r="AB35" s="10">
        <v>0</v>
      </c>
      <c r="AC35" s="10">
        <v>1</v>
      </c>
      <c r="AD35" s="10">
        <v>0.16700000000000001</v>
      </c>
      <c r="AE35" s="10">
        <v>0.64</v>
      </c>
      <c r="AF35" s="10">
        <f t="shared" si="3"/>
        <v>-0.58346350283630388</v>
      </c>
      <c r="AG35" s="10">
        <v>2</v>
      </c>
      <c r="AH35" s="10">
        <v>9</v>
      </c>
      <c r="AI35" s="12">
        <v>0</v>
      </c>
      <c r="AJ35" s="12">
        <v>1</v>
      </c>
      <c r="AK35" s="12">
        <v>4.0000000000000001E-3</v>
      </c>
      <c r="AL35" s="12">
        <v>4.1000000000000003E-3</v>
      </c>
      <c r="AM35" s="12">
        <f t="shared" si="4"/>
        <v>-1.0723865391773113E-2</v>
      </c>
      <c r="AN35" s="12">
        <v>3</v>
      </c>
      <c r="AO35" s="12">
        <v>7</v>
      </c>
      <c r="AP35" s="10">
        <v>0</v>
      </c>
      <c r="AQ35" s="10">
        <v>1</v>
      </c>
      <c r="AR35" s="10">
        <v>0.20200000000000001</v>
      </c>
      <c r="AS35" s="10">
        <v>0.66300000000000003</v>
      </c>
      <c r="AT35" s="10">
        <f t="shared" si="5"/>
        <v>-0.51616215895814932</v>
      </c>
      <c r="AU35" s="10">
        <v>3</v>
      </c>
      <c r="AV35" s="10">
        <v>4</v>
      </c>
      <c r="AW35" s="12">
        <v>0</v>
      </c>
      <c r="AX35" s="12">
        <v>1</v>
      </c>
      <c r="AY35" s="12">
        <v>6.0000000000000001E-3</v>
      </c>
      <c r="AZ35" s="12">
        <v>7.0000000000000001E-3</v>
      </c>
      <c r="BA35" s="12">
        <f t="shared" si="6"/>
        <v>-6.6946789630613221E-2</v>
      </c>
      <c r="BB35" s="12">
        <v>3</v>
      </c>
      <c r="BC35" s="12">
        <v>6</v>
      </c>
      <c r="BD35" s="10">
        <v>0</v>
      </c>
      <c r="BE35" s="10">
        <v>1</v>
      </c>
      <c r="BF35" s="10">
        <v>0.24299999999999999</v>
      </c>
      <c r="BG35" s="10">
        <v>0.75900000000000001</v>
      </c>
      <c r="BH35" s="10">
        <f t="shared" si="7"/>
        <v>-0.49463550229716818</v>
      </c>
      <c r="BI35" s="10">
        <v>2</v>
      </c>
      <c r="BJ35" s="10">
        <v>5</v>
      </c>
      <c r="BK35" s="12">
        <v>0</v>
      </c>
      <c r="BL35" s="12">
        <v>1</v>
      </c>
      <c r="BM35" s="12">
        <v>2E-3</v>
      </c>
      <c r="BN35" s="12">
        <v>2.2000000000000001E-3</v>
      </c>
      <c r="BO35" s="12">
        <f t="shared" si="8"/>
        <v>-4.1392685158225057E-2</v>
      </c>
      <c r="BP35" s="12">
        <v>3</v>
      </c>
      <c r="BQ35" s="12">
        <v>3</v>
      </c>
      <c r="BR35" s="10">
        <v>0</v>
      </c>
      <c r="BS35" s="10">
        <v>1</v>
      </c>
      <c r="BT35" s="10">
        <v>0.23200000000000001</v>
      </c>
      <c r="BU35" s="10">
        <v>0.73</v>
      </c>
      <c r="BV35" s="10">
        <f t="shared" si="9"/>
        <v>-0.49783487522955622</v>
      </c>
      <c r="BW35" s="10">
        <v>3</v>
      </c>
      <c r="BX35" s="10">
        <v>8</v>
      </c>
      <c r="BY35" s="12">
        <v>0</v>
      </c>
      <c r="BZ35" s="12">
        <v>1</v>
      </c>
      <c r="CA35" s="12">
        <v>8.0000000000000002E-3</v>
      </c>
      <c r="CB35" s="12">
        <v>8.9999999999999993E-3</v>
      </c>
      <c r="CC35" s="12">
        <f t="shared" si="10"/>
        <v>-5.1152522447381256E-2</v>
      </c>
      <c r="CD35" s="12">
        <v>3</v>
      </c>
      <c r="CE35" s="12">
        <v>10</v>
      </c>
      <c r="CF35" s="4">
        <f t="shared" si="11"/>
        <v>0</v>
      </c>
      <c r="CG35" s="5">
        <f t="shared" si="12"/>
        <v>9</v>
      </c>
      <c r="CH35" s="5">
        <f t="shared" si="13"/>
        <v>-0.27837159616635021</v>
      </c>
      <c r="CI35" s="13" t="s">
        <v>68</v>
      </c>
      <c r="CJ35" s="3">
        <v>2</v>
      </c>
      <c r="CK35" s="3">
        <v>4</v>
      </c>
      <c r="CL35" s="3">
        <v>5</v>
      </c>
      <c r="CM35" s="3">
        <v>5</v>
      </c>
      <c r="CN35" s="3">
        <v>5</v>
      </c>
      <c r="CO35" s="8" t="s">
        <v>49</v>
      </c>
      <c r="CP35" s="8" t="s">
        <v>50</v>
      </c>
      <c r="CQ35" s="8" t="s">
        <v>51</v>
      </c>
      <c r="CR35" s="8" t="s">
        <v>52</v>
      </c>
      <c r="CS35" s="3">
        <v>-2</v>
      </c>
      <c r="CT35" s="3">
        <v>-1</v>
      </c>
      <c r="CU35" s="3">
        <v>1</v>
      </c>
      <c r="CV35" s="3">
        <v>0</v>
      </c>
      <c r="CW35" s="3">
        <v>2</v>
      </c>
      <c r="CX35" s="13" t="s">
        <v>328</v>
      </c>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row>
    <row r="36" spans="1:129" x14ac:dyDescent="0.25">
      <c r="A36">
        <v>35</v>
      </c>
      <c r="B36">
        <v>1</v>
      </c>
      <c r="C36" s="3" t="s">
        <v>16</v>
      </c>
      <c r="D36" s="3">
        <v>37</v>
      </c>
      <c r="E36" s="3" t="s">
        <v>15</v>
      </c>
      <c r="F36" s="3">
        <v>11</v>
      </c>
      <c r="G36" s="3">
        <v>12</v>
      </c>
      <c r="H36" s="3">
        <v>0</v>
      </c>
      <c r="I36" s="3">
        <v>1</v>
      </c>
      <c r="J36" s="3">
        <v>2.5999999999999999E-2</v>
      </c>
      <c r="K36" s="3">
        <v>0.23</v>
      </c>
      <c r="L36" s="3">
        <f t="shared" si="0"/>
        <v>-0.94675448804677498</v>
      </c>
      <c r="M36" s="3">
        <v>3</v>
      </c>
      <c r="N36" s="10">
        <v>0</v>
      </c>
      <c r="O36" s="10">
        <v>1</v>
      </c>
      <c r="P36" s="10">
        <v>1.7999999999999999E-2</v>
      </c>
      <c r="Q36" s="10">
        <v>2.4E-2</v>
      </c>
      <c r="R36" s="10">
        <f t="shared" si="1"/>
        <v>-0.12493873660830002</v>
      </c>
      <c r="S36" s="10">
        <v>4</v>
      </c>
      <c r="T36" s="10">
        <v>10</v>
      </c>
      <c r="U36" s="12">
        <v>0</v>
      </c>
      <c r="V36" s="12">
        <v>1</v>
      </c>
      <c r="W36" s="12">
        <v>3.3000000000000002E-2</v>
      </c>
      <c r="X36" s="12">
        <v>0.36299999999999999</v>
      </c>
      <c r="Y36" s="12">
        <f t="shared" si="2"/>
        <v>-1.0413926851582249</v>
      </c>
      <c r="Z36" s="12">
        <v>3</v>
      </c>
      <c r="AA36" s="12">
        <v>9</v>
      </c>
      <c r="AB36" s="10">
        <v>0</v>
      </c>
      <c r="AC36" s="10">
        <v>1</v>
      </c>
      <c r="AD36" s="10">
        <v>5.2999999999999999E-2</v>
      </c>
      <c r="AE36" s="10">
        <v>7.1999999999999995E-2</v>
      </c>
      <c r="AF36" s="10">
        <f t="shared" si="3"/>
        <v>-0.13305662683047939</v>
      </c>
      <c r="AG36" s="10">
        <v>3</v>
      </c>
      <c r="AH36" s="10">
        <v>4</v>
      </c>
      <c r="AI36" s="12">
        <v>0</v>
      </c>
      <c r="AJ36" s="12">
        <v>1</v>
      </c>
      <c r="AK36" s="12">
        <v>2.5999999999999999E-2</v>
      </c>
      <c r="AL36" s="12">
        <v>0.25</v>
      </c>
      <c r="AM36" s="12">
        <f t="shared" si="4"/>
        <v>-0.98296666070121963</v>
      </c>
      <c r="AN36" s="12">
        <v>3</v>
      </c>
      <c r="AO36" s="12">
        <v>4</v>
      </c>
      <c r="AP36" s="10">
        <v>0</v>
      </c>
      <c r="AQ36" s="10">
        <v>1</v>
      </c>
      <c r="AR36" s="10">
        <v>8.0000000000000002E-3</v>
      </c>
      <c r="AS36" s="10">
        <v>1.2E-2</v>
      </c>
      <c r="AT36" s="10">
        <f t="shared" si="5"/>
        <v>-0.17609125905568127</v>
      </c>
      <c r="AU36" s="10">
        <v>4</v>
      </c>
      <c r="AV36" s="10">
        <v>7</v>
      </c>
      <c r="AW36" s="12">
        <v>0</v>
      </c>
      <c r="AX36" s="12">
        <v>1</v>
      </c>
      <c r="AY36" s="12">
        <v>3.4000000000000002E-2</v>
      </c>
      <c r="AZ36" s="12">
        <v>0.41499999999999998</v>
      </c>
      <c r="BA36" s="12">
        <f t="shared" si="6"/>
        <v>-1.0865691796698376</v>
      </c>
      <c r="BB36" s="12">
        <v>4</v>
      </c>
      <c r="BC36" s="12">
        <v>5</v>
      </c>
      <c r="BD36" s="10">
        <v>0</v>
      </c>
      <c r="BE36" s="10">
        <v>1</v>
      </c>
      <c r="BF36" s="10">
        <v>5.7000000000000002E-2</v>
      </c>
      <c r="BG36" s="10">
        <v>8.4000000000000005E-2</v>
      </c>
      <c r="BH36" s="10">
        <f t="shared" si="7"/>
        <v>-0.16840443038939024</v>
      </c>
      <c r="BI36" s="10">
        <v>4</v>
      </c>
      <c r="BJ36" s="10">
        <v>6</v>
      </c>
      <c r="BK36" s="12">
        <v>0</v>
      </c>
      <c r="BL36" s="12">
        <v>1</v>
      </c>
      <c r="BM36" s="12">
        <v>2.8000000000000001E-2</v>
      </c>
      <c r="BN36" s="12">
        <v>0.29199999999999998</v>
      </c>
      <c r="BO36" s="12">
        <f t="shared" si="8"/>
        <v>-1.018224820106199</v>
      </c>
      <c r="BP36" s="12">
        <v>4</v>
      </c>
      <c r="BQ36" s="12">
        <v>8</v>
      </c>
      <c r="BR36" s="10">
        <v>0</v>
      </c>
      <c r="BS36" s="10">
        <v>1</v>
      </c>
      <c r="BT36" s="10">
        <v>4.8000000000000001E-2</v>
      </c>
      <c r="BU36" s="10">
        <v>7.0000000000000007E-2</v>
      </c>
      <c r="BV36" s="10">
        <f t="shared" si="9"/>
        <v>-0.16385680263866967</v>
      </c>
      <c r="BW36" s="10">
        <v>3</v>
      </c>
      <c r="BX36" s="10">
        <v>3</v>
      </c>
      <c r="BY36" s="12">
        <v>0</v>
      </c>
      <c r="BZ36" s="12">
        <v>1</v>
      </c>
      <c r="CA36" s="12">
        <v>3.2000000000000001E-2</v>
      </c>
      <c r="CB36" s="12">
        <v>0.32</v>
      </c>
      <c r="CC36" s="12">
        <f t="shared" si="10"/>
        <v>-1</v>
      </c>
      <c r="CD36" s="12">
        <v>3</v>
      </c>
      <c r="CE36" s="12">
        <v>1</v>
      </c>
      <c r="CF36" s="4">
        <f t="shared" si="11"/>
        <v>0</v>
      </c>
      <c r="CG36" s="5">
        <f t="shared" si="12"/>
        <v>10</v>
      </c>
      <c r="CH36" s="5">
        <f t="shared" si="13"/>
        <v>-0.58955012011580021</v>
      </c>
      <c r="CI36" s="13" t="s">
        <v>122</v>
      </c>
      <c r="CJ36" s="3">
        <v>2</v>
      </c>
      <c r="CK36" s="3">
        <v>2</v>
      </c>
      <c r="CL36" s="3">
        <v>5</v>
      </c>
      <c r="CM36" s="3">
        <v>4</v>
      </c>
      <c r="CN36" s="3">
        <v>4</v>
      </c>
      <c r="CO36" s="8" t="s">
        <v>50</v>
      </c>
      <c r="CP36" s="8" t="s">
        <v>49</v>
      </c>
      <c r="CQ36" s="8" t="s">
        <v>51</v>
      </c>
      <c r="CR36" s="8" t="s">
        <v>52</v>
      </c>
      <c r="CS36" s="3">
        <v>-2</v>
      </c>
      <c r="CT36" s="3">
        <v>-1</v>
      </c>
      <c r="CU36" s="3">
        <v>2</v>
      </c>
      <c r="CV36" s="3">
        <v>0</v>
      </c>
      <c r="CW36" s="3">
        <v>1</v>
      </c>
      <c r="CX36" s="13" t="s">
        <v>336</v>
      </c>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row>
    <row r="37" spans="1:129" x14ac:dyDescent="0.25">
      <c r="A37">
        <v>36</v>
      </c>
      <c r="B37">
        <v>2</v>
      </c>
      <c r="C37" s="3" t="s">
        <v>75</v>
      </c>
      <c r="D37" s="3">
        <v>25</v>
      </c>
      <c r="E37" s="3" t="s">
        <v>123</v>
      </c>
      <c r="F37" s="3">
        <v>11</v>
      </c>
      <c r="G37" s="3">
        <v>11</v>
      </c>
      <c r="H37" s="3">
        <v>1</v>
      </c>
      <c r="I37" s="3">
        <v>3</v>
      </c>
      <c r="J37" s="3">
        <v>0.23</v>
      </c>
      <c r="K37" s="3">
        <v>0.23</v>
      </c>
      <c r="L37" s="3">
        <f t="shared" si="0"/>
        <v>0</v>
      </c>
      <c r="M37" s="3">
        <v>3</v>
      </c>
      <c r="N37" s="10">
        <v>1</v>
      </c>
      <c r="O37" s="10">
        <v>3</v>
      </c>
      <c r="P37" s="10">
        <v>0.68600000000000005</v>
      </c>
      <c r="Q37" s="10">
        <v>0.68600000000000005</v>
      </c>
      <c r="R37" s="10">
        <f t="shared" si="1"/>
        <v>0</v>
      </c>
      <c r="S37" s="10">
        <v>3</v>
      </c>
      <c r="T37" s="10">
        <v>3</v>
      </c>
      <c r="U37" s="12">
        <v>1</v>
      </c>
      <c r="V37" s="12">
        <v>3</v>
      </c>
      <c r="W37" s="12">
        <v>8.0000000000000002E-3</v>
      </c>
      <c r="X37" s="12">
        <v>8.0000000000000002E-3</v>
      </c>
      <c r="Y37" s="12">
        <f t="shared" si="2"/>
        <v>0</v>
      </c>
      <c r="Z37" s="12">
        <v>3</v>
      </c>
      <c r="AA37" s="12">
        <v>1</v>
      </c>
      <c r="AB37" s="10">
        <v>1</v>
      </c>
      <c r="AC37" s="10">
        <v>3</v>
      </c>
      <c r="AD37" s="10">
        <v>0.64</v>
      </c>
      <c r="AE37" s="10">
        <v>0.64</v>
      </c>
      <c r="AF37" s="10">
        <f t="shared" si="3"/>
        <v>0</v>
      </c>
      <c r="AG37" s="10">
        <v>3</v>
      </c>
      <c r="AH37" s="10">
        <v>10</v>
      </c>
      <c r="AI37" s="12">
        <v>1</v>
      </c>
      <c r="AJ37" s="12">
        <v>3</v>
      </c>
      <c r="AK37" s="12">
        <v>4.1000000000000003E-3</v>
      </c>
      <c r="AL37" s="12">
        <v>4.1000000000000003E-3</v>
      </c>
      <c r="AM37" s="12">
        <f t="shared" si="4"/>
        <v>0</v>
      </c>
      <c r="AN37" s="12">
        <v>3</v>
      </c>
      <c r="AO37" s="12">
        <v>9</v>
      </c>
      <c r="AP37" s="10">
        <v>1</v>
      </c>
      <c r="AQ37" s="10">
        <v>3</v>
      </c>
      <c r="AR37" s="10">
        <v>0.66300000000000003</v>
      </c>
      <c r="AS37" s="10">
        <v>0.66300000000000003</v>
      </c>
      <c r="AT37" s="10">
        <f t="shared" si="5"/>
        <v>0</v>
      </c>
      <c r="AU37" s="10">
        <v>3</v>
      </c>
      <c r="AV37" s="10">
        <v>2</v>
      </c>
      <c r="AW37" s="12">
        <v>1</v>
      </c>
      <c r="AX37" s="12">
        <v>3</v>
      </c>
      <c r="AY37" s="12">
        <v>7.0000000000000001E-3</v>
      </c>
      <c r="AZ37" s="12">
        <v>7.0000000000000001E-3</v>
      </c>
      <c r="BA37" s="12">
        <f t="shared" si="6"/>
        <v>0</v>
      </c>
      <c r="BB37" s="12">
        <v>3</v>
      </c>
      <c r="BC37" s="12">
        <v>4</v>
      </c>
      <c r="BD37" s="10">
        <v>1</v>
      </c>
      <c r="BE37" s="10">
        <v>3</v>
      </c>
      <c r="BF37" s="10">
        <v>0.75900000000000001</v>
      </c>
      <c r="BG37" s="10">
        <v>0.75900000000000001</v>
      </c>
      <c r="BH37" s="10">
        <f t="shared" si="7"/>
        <v>0</v>
      </c>
      <c r="BI37" s="10">
        <v>2</v>
      </c>
      <c r="BJ37" s="10">
        <v>7</v>
      </c>
      <c r="BK37" s="12">
        <v>0</v>
      </c>
      <c r="BL37" s="12">
        <v>1</v>
      </c>
      <c r="BM37" s="12">
        <f>2/908</f>
        <v>2.2026431718061676E-3</v>
      </c>
      <c r="BN37" s="12">
        <v>2.2000000000000001E-3</v>
      </c>
      <c r="BO37" s="12">
        <f t="shared" si="8"/>
        <v>5.2146632068984398E-4</v>
      </c>
      <c r="BP37" s="12">
        <v>3</v>
      </c>
      <c r="BQ37" s="12">
        <v>5</v>
      </c>
      <c r="BR37" s="10">
        <v>1</v>
      </c>
      <c r="BS37" s="10">
        <v>3</v>
      </c>
      <c r="BT37" s="10">
        <v>0.73</v>
      </c>
      <c r="BU37" s="10">
        <v>0.73</v>
      </c>
      <c r="BV37" s="10">
        <f t="shared" si="9"/>
        <v>0</v>
      </c>
      <c r="BW37" s="10">
        <v>3</v>
      </c>
      <c r="BX37" s="10">
        <v>6</v>
      </c>
      <c r="BY37" s="12">
        <v>1</v>
      </c>
      <c r="BZ37" s="12">
        <v>3</v>
      </c>
      <c r="CA37" s="12">
        <v>8.9999999999999993E-3</v>
      </c>
      <c r="CB37" s="12">
        <v>8.9999999999999993E-3</v>
      </c>
      <c r="CC37" s="12">
        <f t="shared" si="10"/>
        <v>0</v>
      </c>
      <c r="CD37" s="12">
        <v>3</v>
      </c>
      <c r="CE37" s="12">
        <v>8</v>
      </c>
      <c r="CF37" s="32">
        <f t="shared" si="11"/>
        <v>9</v>
      </c>
      <c r="CG37" s="5">
        <f t="shared" si="12"/>
        <v>28</v>
      </c>
      <c r="CH37" s="5">
        <f t="shared" si="13"/>
        <v>5.2146632068984397E-5</v>
      </c>
      <c r="CI37" s="13" t="s">
        <v>163</v>
      </c>
      <c r="CJ37" s="3">
        <v>4</v>
      </c>
      <c r="CK37" s="3">
        <v>3</v>
      </c>
      <c r="CL37" s="3">
        <v>5</v>
      </c>
      <c r="CM37" s="3">
        <v>3</v>
      </c>
      <c r="CN37" s="3">
        <v>2</v>
      </c>
      <c r="CO37" s="8" t="s">
        <v>50</v>
      </c>
      <c r="CP37" s="8" t="s">
        <v>52</v>
      </c>
      <c r="CQ37" s="8" t="s">
        <v>49</v>
      </c>
      <c r="CR37" s="8" t="s">
        <v>60</v>
      </c>
      <c r="CS37" s="3">
        <v>0</v>
      </c>
      <c r="CT37" s="3">
        <v>1</v>
      </c>
      <c r="CU37" s="3">
        <v>2</v>
      </c>
      <c r="CV37" s="3">
        <v>-1</v>
      </c>
      <c r="CW37" s="3">
        <v>-2</v>
      </c>
      <c r="CX37" s="13" t="s">
        <v>139</v>
      </c>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row>
    <row r="38" spans="1:129" x14ac:dyDescent="0.25">
      <c r="A38">
        <v>37</v>
      </c>
      <c r="B38">
        <v>1</v>
      </c>
      <c r="C38" s="3" t="s">
        <v>16</v>
      </c>
      <c r="D38" s="3">
        <v>22</v>
      </c>
      <c r="E38" s="3" t="s">
        <v>128</v>
      </c>
      <c r="F38" s="3">
        <v>9</v>
      </c>
      <c r="G38" s="3">
        <v>12</v>
      </c>
      <c r="H38" s="3">
        <v>0</v>
      </c>
      <c r="I38" s="3">
        <v>0</v>
      </c>
      <c r="J38" s="3">
        <v>0.113</v>
      </c>
      <c r="K38" s="3">
        <v>0.23</v>
      </c>
      <c r="L38" s="3">
        <f t="shared" si="0"/>
        <v>-0.30864939253417317</v>
      </c>
      <c r="M38" s="3">
        <v>3</v>
      </c>
      <c r="N38" s="10">
        <v>0</v>
      </c>
      <c r="O38" s="10">
        <v>1</v>
      </c>
      <c r="P38" s="10">
        <v>1.7999999999999999E-2</v>
      </c>
      <c r="Q38" s="10">
        <v>2.4E-2</v>
      </c>
      <c r="R38" s="10">
        <f t="shared" si="1"/>
        <v>-0.12493873660830002</v>
      </c>
      <c r="S38" s="10">
        <v>1</v>
      </c>
      <c r="T38" s="10">
        <v>8</v>
      </c>
      <c r="U38" s="12">
        <v>0</v>
      </c>
      <c r="V38" s="12">
        <v>1</v>
      </c>
      <c r="W38" s="12">
        <v>3.3000000000000002E-2</v>
      </c>
      <c r="X38" s="12">
        <v>0.36299999999999999</v>
      </c>
      <c r="Y38" s="12">
        <f t="shared" si="2"/>
        <v>-1.0413926851582249</v>
      </c>
      <c r="Z38" s="12">
        <v>3</v>
      </c>
      <c r="AA38" s="12">
        <v>10</v>
      </c>
      <c r="AB38" s="10">
        <v>0</v>
      </c>
      <c r="AC38" s="10">
        <v>0</v>
      </c>
      <c r="AD38" s="10">
        <v>0.04</v>
      </c>
      <c r="AE38" s="10">
        <v>7.1999999999999995E-2</v>
      </c>
      <c r="AF38" s="10">
        <f t="shared" si="3"/>
        <v>-0.25527250510330607</v>
      </c>
      <c r="AG38" s="10">
        <v>3</v>
      </c>
      <c r="AH38" s="10">
        <v>1</v>
      </c>
      <c r="AI38" s="12">
        <v>0</v>
      </c>
      <c r="AJ38" s="12">
        <v>1</v>
      </c>
      <c r="AK38" s="12">
        <v>2.5999999999999999E-2</v>
      </c>
      <c r="AL38" s="12">
        <v>0.25</v>
      </c>
      <c r="AM38" s="12">
        <f t="shared" si="4"/>
        <v>-0.98296666070121963</v>
      </c>
      <c r="AN38" s="12">
        <v>1</v>
      </c>
      <c r="AO38" s="12">
        <v>2</v>
      </c>
      <c r="AP38" s="10">
        <v>0</v>
      </c>
      <c r="AQ38" s="10">
        <v>1</v>
      </c>
      <c r="AR38" s="10">
        <v>8.0000000000000002E-3</v>
      </c>
      <c r="AS38" s="10">
        <v>1.2E-2</v>
      </c>
      <c r="AT38" s="10">
        <f t="shared" si="5"/>
        <v>-0.17609125905568127</v>
      </c>
      <c r="AU38" s="10">
        <v>4</v>
      </c>
      <c r="AV38" s="10">
        <v>9</v>
      </c>
      <c r="AW38" s="12">
        <v>0</v>
      </c>
      <c r="AX38" s="12">
        <v>1</v>
      </c>
      <c r="AY38" s="12">
        <v>3.4000000000000002E-2</v>
      </c>
      <c r="AZ38" s="12">
        <v>0.41499999999999998</v>
      </c>
      <c r="BA38" s="12">
        <f t="shared" si="6"/>
        <v>-1.0865691796698376</v>
      </c>
      <c r="BB38" s="12">
        <v>4</v>
      </c>
      <c r="BC38" s="12">
        <v>7</v>
      </c>
      <c r="BD38" s="10">
        <v>0</v>
      </c>
      <c r="BE38" s="10">
        <v>1</v>
      </c>
      <c r="BF38" s="10">
        <v>5.7000000000000002E-2</v>
      </c>
      <c r="BG38" s="10">
        <v>8.4000000000000005E-2</v>
      </c>
      <c r="BH38" s="10">
        <f t="shared" si="7"/>
        <v>-0.16840443038939024</v>
      </c>
      <c r="BI38" s="10">
        <v>3</v>
      </c>
      <c r="BJ38" s="10">
        <v>4</v>
      </c>
      <c r="BK38" s="12">
        <v>0</v>
      </c>
      <c r="BL38" s="12">
        <v>1</v>
      </c>
      <c r="BM38" s="12">
        <v>2.8000000000000001E-2</v>
      </c>
      <c r="BN38" s="12">
        <v>0.29199999999999998</v>
      </c>
      <c r="BO38" s="12">
        <f t="shared" si="8"/>
        <v>-1.018224820106199</v>
      </c>
      <c r="BP38" s="12">
        <v>4</v>
      </c>
      <c r="BQ38" s="12">
        <v>6</v>
      </c>
      <c r="BR38" s="10">
        <v>0</v>
      </c>
      <c r="BS38" s="10">
        <v>1</v>
      </c>
      <c r="BT38" s="10">
        <v>4.8000000000000001E-2</v>
      </c>
      <c r="BU38" s="10">
        <v>7.0000000000000007E-2</v>
      </c>
      <c r="BV38" s="10">
        <f t="shared" si="9"/>
        <v>-0.16385680263866967</v>
      </c>
      <c r="BW38" s="10">
        <v>3</v>
      </c>
      <c r="BX38" s="10">
        <v>5</v>
      </c>
      <c r="BY38" s="12">
        <v>0</v>
      </c>
      <c r="BZ38" s="12">
        <v>2</v>
      </c>
      <c r="CA38" s="12">
        <v>3.2000000000000001E-2</v>
      </c>
      <c r="CB38" s="12">
        <v>0.32</v>
      </c>
      <c r="CC38" s="12">
        <f t="shared" si="10"/>
        <v>-1</v>
      </c>
      <c r="CD38" s="12">
        <v>3</v>
      </c>
      <c r="CE38" s="12">
        <v>3</v>
      </c>
      <c r="CF38" s="4">
        <f t="shared" si="11"/>
        <v>0</v>
      </c>
      <c r="CG38" s="5">
        <f t="shared" si="12"/>
        <v>10</v>
      </c>
      <c r="CH38" s="5">
        <f t="shared" si="13"/>
        <v>-0.60177170794308277</v>
      </c>
      <c r="CI38" s="13" t="s">
        <v>58</v>
      </c>
      <c r="CJ38" s="3">
        <v>4</v>
      </c>
      <c r="CK38" s="3">
        <v>5</v>
      </c>
      <c r="CL38" s="3">
        <v>5</v>
      </c>
      <c r="CM38" s="3">
        <v>2</v>
      </c>
      <c r="CN38" s="3">
        <v>2</v>
      </c>
      <c r="CO38" s="8" t="s">
        <v>50</v>
      </c>
      <c r="CP38" s="8" t="s">
        <v>52</v>
      </c>
      <c r="CQ38" s="8" t="s">
        <v>60</v>
      </c>
      <c r="CR38" s="8" t="s">
        <v>49</v>
      </c>
      <c r="CS38" s="3">
        <v>0</v>
      </c>
      <c r="CT38" s="3">
        <v>1</v>
      </c>
      <c r="CU38" s="3">
        <v>2</v>
      </c>
      <c r="CV38" s="3">
        <v>-2</v>
      </c>
      <c r="CW38" s="3">
        <v>-1</v>
      </c>
      <c r="CX38" s="13" t="s">
        <v>140</v>
      </c>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row>
    <row r="39" spans="1:129" x14ac:dyDescent="0.25">
      <c r="A39">
        <v>38</v>
      </c>
      <c r="B39">
        <v>2</v>
      </c>
      <c r="C39" s="3" t="s">
        <v>16</v>
      </c>
      <c r="D39" s="3">
        <v>38</v>
      </c>
      <c r="E39" s="3" t="s">
        <v>138</v>
      </c>
      <c r="F39" s="3">
        <v>10</v>
      </c>
      <c r="G39" s="3">
        <v>8</v>
      </c>
      <c r="H39" s="3">
        <v>0</v>
      </c>
      <c r="I39" s="3">
        <v>1</v>
      </c>
      <c r="J39" s="3">
        <v>2.5999999999999999E-2</v>
      </c>
      <c r="K39" s="3">
        <v>0.23</v>
      </c>
      <c r="L39" s="3">
        <f t="shared" si="0"/>
        <v>-0.94675448804677498</v>
      </c>
      <c r="M39" s="3">
        <v>4</v>
      </c>
      <c r="N39" s="10">
        <v>0</v>
      </c>
      <c r="O39" s="10">
        <v>1</v>
      </c>
      <c r="P39" s="10">
        <f>162/180</f>
        <v>0.9</v>
      </c>
      <c r="Q39" s="10">
        <v>0.68600000000000005</v>
      </c>
      <c r="R39" s="10">
        <f t="shared" si="1"/>
        <v>0.11791839373257315</v>
      </c>
      <c r="S39" s="10">
        <v>3</v>
      </c>
      <c r="T39" s="10">
        <v>5</v>
      </c>
      <c r="U39" s="12">
        <v>0</v>
      </c>
      <c r="V39" s="12">
        <v>1</v>
      </c>
      <c r="W39" s="12">
        <v>7.0000000000000001E-3</v>
      </c>
      <c r="X39" s="12">
        <v>8.0000000000000002E-3</v>
      </c>
      <c r="Y39" s="12">
        <f t="shared" si="2"/>
        <v>-5.7991946977686754E-2</v>
      </c>
      <c r="Z39" s="12">
        <v>4</v>
      </c>
      <c r="AA39" s="12">
        <v>3</v>
      </c>
      <c r="AB39" s="10">
        <v>0</v>
      </c>
      <c r="AC39" s="10">
        <v>1</v>
      </c>
      <c r="AD39" s="10">
        <f>162/220</f>
        <v>0.73636363636363633</v>
      </c>
      <c r="AE39" s="10">
        <v>0.64</v>
      </c>
      <c r="AF39" s="10">
        <f t="shared" si="3"/>
        <v>6.0912359736537476E-2</v>
      </c>
      <c r="AG39" s="10">
        <v>4</v>
      </c>
      <c r="AH39" s="10">
        <v>8</v>
      </c>
      <c r="AI39" s="12">
        <v>0</v>
      </c>
      <c r="AJ39" s="12">
        <v>1</v>
      </c>
      <c r="AK39" s="12">
        <f>4/30</f>
        <v>0.13333333333333333</v>
      </c>
      <c r="AL39" s="12">
        <v>4.1000000000000003E-3</v>
      </c>
      <c r="AM39" s="12">
        <f t="shared" si="4"/>
        <v>1.5121548798885645</v>
      </c>
      <c r="AN39" s="12">
        <v>4</v>
      </c>
      <c r="AO39" s="12">
        <v>10</v>
      </c>
      <c r="AP39" s="10">
        <v>0</v>
      </c>
      <c r="AQ39" s="10">
        <v>1</v>
      </c>
      <c r="AR39" s="10">
        <v>0.20200000000000001</v>
      </c>
      <c r="AS39" s="10">
        <v>0.66300000000000003</v>
      </c>
      <c r="AT39" s="10">
        <f t="shared" si="5"/>
        <v>-0.51616215895814932</v>
      </c>
      <c r="AU39" s="10">
        <v>4</v>
      </c>
      <c r="AV39" s="10">
        <v>1</v>
      </c>
      <c r="AW39" s="12">
        <v>0</v>
      </c>
      <c r="AX39" s="12">
        <v>1</v>
      </c>
      <c r="AY39" s="12">
        <v>6.0000000000000001E-3</v>
      </c>
      <c r="AZ39" s="12">
        <v>7.0000000000000001E-3</v>
      </c>
      <c r="BA39" s="12">
        <f t="shared" si="6"/>
        <v>-6.6946789630613221E-2</v>
      </c>
      <c r="BB39" s="12">
        <v>4</v>
      </c>
      <c r="BC39" s="12">
        <v>2</v>
      </c>
      <c r="BD39" s="10">
        <v>0</v>
      </c>
      <c r="BE39" s="10">
        <v>1</v>
      </c>
      <c r="BF39" s="10">
        <f>243/300</f>
        <v>0.81</v>
      </c>
      <c r="BG39" s="10">
        <v>0.75900000000000001</v>
      </c>
      <c r="BH39" s="10">
        <f t="shared" si="7"/>
        <v>2.8243242983169416E-2</v>
      </c>
      <c r="BI39" s="10">
        <v>4</v>
      </c>
      <c r="BJ39" s="10">
        <v>9</v>
      </c>
      <c r="BK39" s="12">
        <v>0</v>
      </c>
      <c r="BL39" s="12">
        <v>1</v>
      </c>
      <c r="BM39" s="12">
        <f>2/30</f>
        <v>6.6666666666666666E-2</v>
      </c>
      <c r="BN39" s="12">
        <v>2.2000000000000001E-3</v>
      </c>
      <c r="BO39" s="12">
        <f t="shared" si="8"/>
        <v>1.4814860601221125</v>
      </c>
      <c r="BP39" s="12">
        <v>3</v>
      </c>
      <c r="BQ39" s="12">
        <v>7</v>
      </c>
      <c r="BR39" s="10">
        <v>0</v>
      </c>
      <c r="BS39" s="10">
        <v>1</v>
      </c>
      <c r="BT39" s="10">
        <f>232/280</f>
        <v>0.82857142857142863</v>
      </c>
      <c r="BU39" s="10">
        <v>0.73</v>
      </c>
      <c r="BV39" s="10">
        <f t="shared" si="9"/>
        <v>5.5007093428224609E-2</v>
      </c>
      <c r="BW39" s="10">
        <v>2</v>
      </c>
      <c r="BX39" s="10">
        <v>4</v>
      </c>
      <c r="BY39" s="12">
        <v>0</v>
      </c>
      <c r="BZ39" s="12">
        <v>1</v>
      </c>
      <c r="CA39" s="12">
        <f>8/40</f>
        <v>0.2</v>
      </c>
      <c r="CB39" s="12">
        <v>8.9999999999999993E-3</v>
      </c>
      <c r="CC39" s="12">
        <f t="shared" si="10"/>
        <v>1.3467874862246563</v>
      </c>
      <c r="CD39" s="12">
        <v>3</v>
      </c>
      <c r="CE39" s="12">
        <v>6</v>
      </c>
      <c r="CF39" s="4">
        <f t="shared" si="11"/>
        <v>0</v>
      </c>
      <c r="CG39" s="5">
        <f t="shared" si="12"/>
        <v>10</v>
      </c>
      <c r="CH39" s="5">
        <f t="shared" si="13"/>
        <v>0.39614086205493881</v>
      </c>
      <c r="CI39" s="13" t="s">
        <v>110</v>
      </c>
      <c r="CJ39" s="3">
        <v>1</v>
      </c>
      <c r="CK39" s="3">
        <v>2</v>
      </c>
      <c r="CL39" s="3">
        <v>5</v>
      </c>
      <c r="CM39" s="3">
        <v>4</v>
      </c>
      <c r="CN39" s="3">
        <v>4</v>
      </c>
      <c r="CO39" s="8" t="s">
        <v>50</v>
      </c>
      <c r="CP39" s="8" t="s">
        <v>49</v>
      </c>
      <c r="CQ39" s="8" t="s">
        <v>51</v>
      </c>
      <c r="CR39" s="8" t="s">
        <v>52</v>
      </c>
      <c r="CS39" s="3">
        <v>-2</v>
      </c>
      <c r="CT39" s="3">
        <v>-1</v>
      </c>
      <c r="CU39" s="3">
        <v>2</v>
      </c>
      <c r="CV39" s="3">
        <v>0</v>
      </c>
      <c r="CW39" s="3">
        <v>1</v>
      </c>
      <c r="CX39" s="13" t="s">
        <v>331</v>
      </c>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row>
    <row r="40" spans="1:129" x14ac:dyDescent="0.25">
      <c r="A40">
        <v>39</v>
      </c>
      <c r="B40">
        <v>1</v>
      </c>
      <c r="C40" s="3" t="s">
        <v>16</v>
      </c>
      <c r="D40" s="3">
        <v>23</v>
      </c>
      <c r="E40" s="3" t="s">
        <v>128</v>
      </c>
      <c r="F40" s="32">
        <v>6</v>
      </c>
      <c r="G40" s="3">
        <v>4</v>
      </c>
      <c r="H40" s="3">
        <v>0</v>
      </c>
      <c r="I40" s="3">
        <v>0</v>
      </c>
      <c r="J40" s="3">
        <f>30/970</f>
        <v>3.0927835051546393E-2</v>
      </c>
      <c r="K40" s="3">
        <v>0.23</v>
      </c>
      <c r="L40" s="3">
        <f t="shared" si="0"/>
        <v>-0.87137831556417533</v>
      </c>
      <c r="M40" s="3">
        <v>2</v>
      </c>
      <c r="N40" s="10">
        <v>0</v>
      </c>
      <c r="O40" s="10">
        <v>1</v>
      </c>
      <c r="P40" s="10">
        <f>18/820</f>
        <v>2.1951219512195121E-2</v>
      </c>
      <c r="Q40" s="10">
        <v>2.4E-2</v>
      </c>
      <c r="R40" s="10">
        <f t="shared" si="1"/>
        <v>-3.8752588992016682E-2</v>
      </c>
      <c r="S40" s="10">
        <v>4</v>
      </c>
      <c r="T40" s="10">
        <v>6</v>
      </c>
      <c r="U40" s="12">
        <v>0</v>
      </c>
      <c r="V40" s="12">
        <v>0</v>
      </c>
      <c r="W40" s="12">
        <f>90/960</f>
        <v>9.375E-2</v>
      </c>
      <c r="X40" s="12">
        <v>0.36299999999999999</v>
      </c>
      <c r="Y40" s="12">
        <f t="shared" si="2"/>
        <v>-0.58793534863635599</v>
      </c>
      <c r="Z40" s="12">
        <v>4</v>
      </c>
      <c r="AA40" s="12">
        <v>8</v>
      </c>
      <c r="AB40" s="10">
        <v>0</v>
      </c>
      <c r="AC40" s="10">
        <v>1</v>
      </c>
      <c r="AD40" s="10">
        <f>53/780</f>
        <v>6.7948717948717943E-2</v>
      </c>
      <c r="AE40" s="10">
        <v>7.1999999999999995E-2</v>
      </c>
      <c r="AF40" s="10">
        <f t="shared" si="3"/>
        <v>-2.5151229520959811E-2</v>
      </c>
      <c r="AG40" s="10">
        <v>2</v>
      </c>
      <c r="AH40" s="10">
        <v>3</v>
      </c>
      <c r="AI40" s="12">
        <v>0</v>
      </c>
      <c r="AJ40" s="12">
        <v>0</v>
      </c>
      <c r="AK40" s="12">
        <v>0.03</v>
      </c>
      <c r="AL40" s="12">
        <v>0.25</v>
      </c>
      <c r="AM40" s="12">
        <f t="shared" si="4"/>
        <v>-0.92081875395237522</v>
      </c>
      <c r="AN40" s="12">
        <v>2</v>
      </c>
      <c r="AO40" s="12">
        <v>1</v>
      </c>
      <c r="AP40" s="10">
        <v>0</v>
      </c>
      <c r="AQ40" s="10">
        <v>0</v>
      </c>
      <c r="AR40" s="10">
        <v>0.7</v>
      </c>
      <c r="AS40" s="10">
        <v>1.2E-2</v>
      </c>
      <c r="AT40" s="10">
        <f t="shared" si="5"/>
        <v>1.765916793966632</v>
      </c>
      <c r="AU40" s="10">
        <v>4</v>
      </c>
      <c r="AV40" s="10">
        <v>10</v>
      </c>
      <c r="AW40" s="12">
        <v>0</v>
      </c>
      <c r="AX40" s="12">
        <v>0</v>
      </c>
      <c r="AY40" s="12">
        <v>0.7</v>
      </c>
      <c r="AZ40" s="12">
        <v>0.41499999999999998</v>
      </c>
      <c r="BA40" s="12">
        <f t="shared" si="6"/>
        <v>0.2270499433021641</v>
      </c>
      <c r="BB40" s="12">
        <v>3</v>
      </c>
      <c r="BC40" s="12">
        <v>9</v>
      </c>
      <c r="BD40" s="10">
        <v>0</v>
      </c>
      <c r="BE40" s="10">
        <v>0</v>
      </c>
      <c r="BF40" s="10">
        <v>0.623</v>
      </c>
      <c r="BG40" s="10">
        <v>8.4000000000000005E-2</v>
      </c>
      <c r="BH40" s="10">
        <f t="shared" si="7"/>
        <v>0.87020876059728791</v>
      </c>
      <c r="BI40" s="10">
        <v>3</v>
      </c>
      <c r="BJ40" s="10">
        <v>2</v>
      </c>
      <c r="BK40" s="12">
        <v>0</v>
      </c>
      <c r="BL40" s="12">
        <v>0</v>
      </c>
      <c r="BM40" s="12">
        <f>96/1110</f>
        <v>8.6486486486486491E-2</v>
      </c>
      <c r="BN40" s="12">
        <v>0.29199999999999998</v>
      </c>
      <c r="BO40" s="12">
        <f t="shared" si="8"/>
        <v>-0.52843459719550723</v>
      </c>
      <c r="BP40" s="12">
        <v>2</v>
      </c>
      <c r="BQ40" s="12">
        <v>4</v>
      </c>
      <c r="BR40" s="10">
        <v>0</v>
      </c>
      <c r="BS40" s="10">
        <v>0</v>
      </c>
      <c r="BT40" s="10">
        <f>310/720</f>
        <v>0.43055555555555558</v>
      </c>
      <c r="BU40" s="10">
        <v>7.0000000000000007E-2</v>
      </c>
      <c r="BV40" s="10">
        <f t="shared" si="9"/>
        <v>0.78893115738874731</v>
      </c>
      <c r="BW40" s="10">
        <v>3</v>
      </c>
      <c r="BX40" s="10">
        <v>7</v>
      </c>
      <c r="BY40" s="12">
        <v>0</v>
      </c>
      <c r="BZ40" s="12">
        <v>0</v>
      </c>
      <c r="CA40" s="12">
        <f>99/960</f>
        <v>0.10312499999999999</v>
      </c>
      <c r="CB40" s="12">
        <v>0.32</v>
      </c>
      <c r="CC40" s="12">
        <f t="shared" si="10"/>
        <v>-0.49178601676192446</v>
      </c>
      <c r="CD40" s="12">
        <v>3</v>
      </c>
      <c r="CE40" s="12">
        <v>5</v>
      </c>
      <c r="CF40" s="4">
        <f t="shared" si="11"/>
        <v>0</v>
      </c>
      <c r="CG40" s="5">
        <f t="shared" si="12"/>
        <v>2</v>
      </c>
      <c r="CH40" s="5">
        <f t="shared" si="13"/>
        <v>0.10592281201956917</v>
      </c>
      <c r="CI40" s="13" t="s">
        <v>61</v>
      </c>
      <c r="CJ40" s="3">
        <v>4</v>
      </c>
      <c r="CK40" s="3">
        <v>1</v>
      </c>
      <c r="CL40" s="3">
        <v>5</v>
      </c>
      <c r="CM40" s="3">
        <v>2</v>
      </c>
      <c r="CN40" s="3">
        <v>2</v>
      </c>
      <c r="CO40" s="8" t="s">
        <v>50</v>
      </c>
      <c r="CP40" s="8" t="s">
        <v>59</v>
      </c>
      <c r="CQ40" s="8" t="s">
        <v>52</v>
      </c>
      <c r="CR40" s="8" t="s">
        <v>60</v>
      </c>
      <c r="CS40" s="3">
        <v>1</v>
      </c>
      <c r="CT40" s="3">
        <v>-2</v>
      </c>
      <c r="CU40" s="3">
        <v>2</v>
      </c>
      <c r="CV40" s="3">
        <v>-1</v>
      </c>
      <c r="CW40" s="3">
        <v>0</v>
      </c>
      <c r="CX40" s="13" t="s">
        <v>326</v>
      </c>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row>
    <row r="41" spans="1:129" x14ac:dyDescent="0.25">
      <c r="A41">
        <v>40</v>
      </c>
      <c r="B41">
        <v>2</v>
      </c>
      <c r="C41" s="3" t="s">
        <v>75</v>
      </c>
      <c r="D41" s="3">
        <v>21</v>
      </c>
      <c r="E41" s="3" t="s">
        <v>141</v>
      </c>
      <c r="F41" s="3">
        <v>10</v>
      </c>
      <c r="G41" s="3">
        <v>11</v>
      </c>
      <c r="H41" s="3">
        <v>0</v>
      </c>
      <c r="I41" s="3">
        <v>1</v>
      </c>
      <c r="J41" s="3">
        <f>26/30</f>
        <v>0.8666666666666667</v>
      </c>
      <c r="K41" s="3">
        <v>0.23</v>
      </c>
      <c r="L41" s="3">
        <f t="shared" si="0"/>
        <v>0.57612425723356264</v>
      </c>
      <c r="M41" s="3">
        <v>1</v>
      </c>
      <c r="N41" s="10">
        <v>1</v>
      </c>
      <c r="O41" s="10">
        <v>3</v>
      </c>
      <c r="P41" s="10">
        <v>0.68600000000000005</v>
      </c>
      <c r="Q41" s="10">
        <v>0.68600000000000005</v>
      </c>
      <c r="R41" s="10">
        <f t="shared" si="1"/>
        <v>0</v>
      </c>
      <c r="S41" s="10">
        <v>4</v>
      </c>
      <c r="T41" s="10">
        <v>7</v>
      </c>
      <c r="U41" s="12">
        <v>0</v>
      </c>
      <c r="V41" s="12">
        <v>2</v>
      </c>
      <c r="W41" s="12">
        <v>0.04</v>
      </c>
      <c r="X41" s="12">
        <v>8.0000000000000002E-3</v>
      </c>
      <c r="Y41" s="12">
        <f t="shared" si="2"/>
        <v>0.69897000433601886</v>
      </c>
      <c r="Z41" s="12">
        <v>3</v>
      </c>
      <c r="AA41" s="12">
        <v>5</v>
      </c>
      <c r="AB41" s="10">
        <v>0</v>
      </c>
      <c r="AC41" s="10">
        <v>1</v>
      </c>
      <c r="AD41" s="10">
        <f>220/280</f>
        <v>0.7857142857142857</v>
      </c>
      <c r="AE41" s="10">
        <v>0.64</v>
      </c>
      <c r="AF41" s="10">
        <f t="shared" si="3"/>
        <v>8.908467549609983E-2</v>
      </c>
      <c r="AG41" s="10">
        <v>4</v>
      </c>
      <c r="AH41" s="10">
        <v>6</v>
      </c>
      <c r="AI41" s="12">
        <v>1</v>
      </c>
      <c r="AJ41" s="12">
        <v>3</v>
      </c>
      <c r="AK41" s="12">
        <v>4.1000000000000003E-3</v>
      </c>
      <c r="AL41" s="12">
        <v>4.1000000000000003E-3</v>
      </c>
      <c r="AM41" s="12">
        <f t="shared" si="4"/>
        <v>0</v>
      </c>
      <c r="AN41" s="12">
        <v>4</v>
      </c>
      <c r="AO41" s="12">
        <v>8</v>
      </c>
      <c r="AP41" s="10">
        <v>1</v>
      </c>
      <c r="AQ41" s="10">
        <v>3</v>
      </c>
      <c r="AR41" s="10">
        <v>0.66300000000000003</v>
      </c>
      <c r="AS41" s="10">
        <v>0.66300000000000003</v>
      </c>
      <c r="AT41" s="10">
        <f t="shared" si="5"/>
        <v>0</v>
      </c>
      <c r="AU41" s="10">
        <v>4</v>
      </c>
      <c r="AV41" s="10">
        <v>3</v>
      </c>
      <c r="AW41" s="12">
        <v>0</v>
      </c>
      <c r="AX41" s="12">
        <v>1</v>
      </c>
      <c r="AY41" s="12">
        <f>6/40</f>
        <v>0.15</v>
      </c>
      <c r="AZ41" s="12">
        <v>7.0000000000000001E-3</v>
      </c>
      <c r="BA41" s="12">
        <f t="shared" si="6"/>
        <v>1.3309932190414244</v>
      </c>
      <c r="BB41" s="12">
        <v>2</v>
      </c>
      <c r="BC41" s="12">
        <v>1</v>
      </c>
      <c r="BD41" s="10">
        <v>1</v>
      </c>
      <c r="BE41" s="10">
        <v>3</v>
      </c>
      <c r="BF41" s="10">
        <v>0.75900000000000001</v>
      </c>
      <c r="BG41" s="10">
        <v>0.75900000000000001</v>
      </c>
      <c r="BH41" s="10">
        <f t="shared" si="7"/>
        <v>0</v>
      </c>
      <c r="BI41" s="10">
        <v>3</v>
      </c>
      <c r="BJ41" s="10">
        <v>10</v>
      </c>
      <c r="BK41" s="12">
        <v>1</v>
      </c>
      <c r="BL41" s="12">
        <v>3</v>
      </c>
      <c r="BM41" s="12">
        <v>2.2000000000000001E-3</v>
      </c>
      <c r="BN41" s="12">
        <v>2.2000000000000001E-3</v>
      </c>
      <c r="BO41" s="12">
        <f t="shared" si="8"/>
        <v>0</v>
      </c>
      <c r="BP41" s="12">
        <v>4</v>
      </c>
      <c r="BQ41" s="12">
        <v>9</v>
      </c>
      <c r="BR41" s="10">
        <v>1</v>
      </c>
      <c r="BS41" s="10">
        <v>3</v>
      </c>
      <c r="BT41" s="10">
        <v>0.73</v>
      </c>
      <c r="BU41" s="10">
        <v>0.73</v>
      </c>
      <c r="BV41" s="10">
        <f t="shared" si="9"/>
        <v>0</v>
      </c>
      <c r="BW41" s="10">
        <v>3</v>
      </c>
      <c r="BX41" s="10">
        <v>2</v>
      </c>
      <c r="BY41" s="12">
        <v>0</v>
      </c>
      <c r="BZ41" s="12">
        <v>1</v>
      </c>
      <c r="CA41" s="12">
        <v>0.04</v>
      </c>
      <c r="CB41" s="12">
        <v>8.9999999999999993E-3</v>
      </c>
      <c r="CC41" s="12">
        <f t="shared" si="10"/>
        <v>0.64781748188863753</v>
      </c>
      <c r="CD41" s="12">
        <v>3</v>
      </c>
      <c r="CE41" s="12">
        <v>4</v>
      </c>
      <c r="CF41" s="32">
        <f t="shared" si="11"/>
        <v>6</v>
      </c>
      <c r="CG41" s="5">
        <f t="shared" si="12"/>
        <v>23</v>
      </c>
      <c r="CH41" s="5">
        <f t="shared" si="13"/>
        <v>0.27668653807621801</v>
      </c>
      <c r="CI41" s="13" t="s">
        <v>113</v>
      </c>
      <c r="CJ41" s="3">
        <v>4</v>
      </c>
      <c r="CK41" s="3">
        <v>3</v>
      </c>
      <c r="CL41" s="3">
        <v>5</v>
      </c>
      <c r="CM41" s="3">
        <v>4</v>
      </c>
      <c r="CN41" s="3">
        <v>3</v>
      </c>
      <c r="CO41" s="8" t="s">
        <v>50</v>
      </c>
      <c r="CP41" s="8" t="s">
        <v>49</v>
      </c>
      <c r="CQ41" s="8" t="s">
        <v>52</v>
      </c>
      <c r="CR41" s="8" t="s">
        <v>60</v>
      </c>
      <c r="CS41" s="3">
        <v>0</v>
      </c>
      <c r="CT41" s="3">
        <v>-2</v>
      </c>
      <c r="CU41" s="3">
        <v>2</v>
      </c>
      <c r="CV41" s="3">
        <v>-1</v>
      </c>
      <c r="CW41" s="3">
        <v>1</v>
      </c>
      <c r="CX41" s="13" t="s">
        <v>142</v>
      </c>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row>
    <row r="42" spans="1:129" x14ac:dyDescent="0.25">
      <c r="A42">
        <v>41</v>
      </c>
      <c r="B42">
        <v>1</v>
      </c>
      <c r="C42" s="3" t="s">
        <v>16</v>
      </c>
      <c r="D42" s="3">
        <v>22</v>
      </c>
      <c r="E42" s="3" t="s">
        <v>138</v>
      </c>
      <c r="F42" s="3">
        <v>11</v>
      </c>
      <c r="G42" s="3">
        <v>12</v>
      </c>
      <c r="H42" s="3">
        <v>0</v>
      </c>
      <c r="I42" s="3">
        <v>2</v>
      </c>
      <c r="J42" s="3">
        <f>30/113</f>
        <v>0.26548672566371684</v>
      </c>
      <c r="K42" s="3">
        <v>0.23</v>
      </c>
      <c r="L42" s="3">
        <f t="shared" si="0"/>
        <v>6.2314975218649857E-2</v>
      </c>
      <c r="M42" s="3">
        <v>3</v>
      </c>
      <c r="N42" s="10">
        <v>0</v>
      </c>
      <c r="O42" s="10">
        <v>1</v>
      </c>
      <c r="P42" s="10">
        <v>1.7999999999999999E-2</v>
      </c>
      <c r="Q42" s="10">
        <v>2.4E-2</v>
      </c>
      <c r="R42" s="10">
        <f t="shared" si="1"/>
        <v>-0.12493873660830002</v>
      </c>
      <c r="S42" s="10">
        <v>4</v>
      </c>
      <c r="T42" s="10">
        <v>4</v>
      </c>
      <c r="U42" s="12">
        <v>0</v>
      </c>
      <c r="V42" s="12">
        <v>1</v>
      </c>
      <c r="W42" s="12">
        <v>3.3000000000000002E-2</v>
      </c>
      <c r="X42" s="12">
        <v>0.36299999999999999</v>
      </c>
      <c r="Y42" s="12">
        <f t="shared" si="2"/>
        <v>-1.0413926851582249</v>
      </c>
      <c r="Z42" s="12">
        <v>4</v>
      </c>
      <c r="AA42" s="12">
        <v>6</v>
      </c>
      <c r="AB42" s="10">
        <v>0</v>
      </c>
      <c r="AC42" s="10">
        <v>1</v>
      </c>
      <c r="AD42" s="10">
        <v>5.2999999999999999E-2</v>
      </c>
      <c r="AE42" s="10">
        <v>7.1999999999999995E-2</v>
      </c>
      <c r="AF42" s="10">
        <f t="shared" si="3"/>
        <v>-0.13305662683047939</v>
      </c>
      <c r="AG42" s="10">
        <v>4</v>
      </c>
      <c r="AH42" s="10">
        <v>5</v>
      </c>
      <c r="AI42" s="12">
        <v>0</v>
      </c>
      <c r="AJ42" s="12">
        <v>1</v>
      </c>
      <c r="AK42" s="12">
        <v>2.5999999999999999E-2</v>
      </c>
      <c r="AL42" s="12">
        <v>0.25</v>
      </c>
      <c r="AM42" s="12">
        <f t="shared" si="4"/>
        <v>-0.98296666070121963</v>
      </c>
      <c r="AN42" s="12">
        <v>3</v>
      </c>
      <c r="AO42" s="12">
        <v>3</v>
      </c>
      <c r="AP42" s="10">
        <v>0</v>
      </c>
      <c r="AQ42" s="10">
        <v>1</v>
      </c>
      <c r="AR42" s="10">
        <v>8.0000000000000002E-3</v>
      </c>
      <c r="AS42" s="10">
        <v>1.2E-2</v>
      </c>
      <c r="AT42" s="10">
        <f t="shared" si="5"/>
        <v>-0.17609125905568127</v>
      </c>
      <c r="AU42" s="10">
        <v>4</v>
      </c>
      <c r="AV42" s="10">
        <v>8</v>
      </c>
      <c r="AW42" s="12">
        <v>0</v>
      </c>
      <c r="AX42" s="12">
        <v>1</v>
      </c>
      <c r="AY42" s="12">
        <v>3.4000000000000002E-2</v>
      </c>
      <c r="AZ42" s="12">
        <v>0.41499999999999998</v>
      </c>
      <c r="BA42" s="12">
        <f t="shared" si="6"/>
        <v>-1.0865691796698376</v>
      </c>
      <c r="BB42" s="12">
        <v>4</v>
      </c>
      <c r="BC42" s="12">
        <v>10</v>
      </c>
      <c r="BD42" s="10">
        <v>0</v>
      </c>
      <c r="BE42" s="10">
        <v>1</v>
      </c>
      <c r="BF42" s="10">
        <v>5.7000000000000002E-2</v>
      </c>
      <c r="BG42" s="10">
        <v>8.4000000000000005E-2</v>
      </c>
      <c r="BH42" s="10">
        <f t="shared" si="7"/>
        <v>-0.16840443038939024</v>
      </c>
      <c r="BI42" s="10">
        <v>4</v>
      </c>
      <c r="BJ42" s="10">
        <v>1</v>
      </c>
      <c r="BK42" s="12">
        <v>0</v>
      </c>
      <c r="BL42" s="12">
        <v>1</v>
      </c>
      <c r="BM42" s="12">
        <v>2.8000000000000001E-2</v>
      </c>
      <c r="BN42" s="12">
        <v>0.29199999999999998</v>
      </c>
      <c r="BO42" s="12">
        <f t="shared" si="8"/>
        <v>-1.018224820106199</v>
      </c>
      <c r="BP42" s="12">
        <v>3</v>
      </c>
      <c r="BQ42" s="12">
        <v>2</v>
      </c>
      <c r="BR42" s="10">
        <v>0</v>
      </c>
      <c r="BS42" s="10">
        <v>1</v>
      </c>
      <c r="BT42" s="10">
        <v>4.8000000000000001E-2</v>
      </c>
      <c r="BU42" s="10">
        <v>7.0000000000000007E-2</v>
      </c>
      <c r="BV42" s="10">
        <f t="shared" si="9"/>
        <v>-0.16385680263866967</v>
      </c>
      <c r="BW42" s="10">
        <v>4</v>
      </c>
      <c r="BX42" s="10">
        <v>9</v>
      </c>
      <c r="BY42" s="12">
        <v>0</v>
      </c>
      <c r="BZ42" s="12">
        <v>1</v>
      </c>
      <c r="CA42" s="12">
        <v>3.2000000000000001E-2</v>
      </c>
      <c r="CB42" s="12">
        <v>0.32</v>
      </c>
      <c r="CC42" s="12">
        <f t="shared" si="10"/>
        <v>-1</v>
      </c>
      <c r="CD42" s="12">
        <v>3</v>
      </c>
      <c r="CE42" s="12">
        <v>7</v>
      </c>
      <c r="CF42" s="4">
        <f t="shared" si="11"/>
        <v>0</v>
      </c>
      <c r="CG42" s="5">
        <f t="shared" si="12"/>
        <v>10</v>
      </c>
      <c r="CH42" s="5">
        <f t="shared" si="13"/>
        <v>-0.58955012011580021</v>
      </c>
      <c r="CI42" s="13" t="s">
        <v>63</v>
      </c>
      <c r="CJ42" s="3">
        <v>1</v>
      </c>
      <c r="CK42" s="3">
        <v>4</v>
      </c>
      <c r="CL42" s="3">
        <v>5</v>
      </c>
      <c r="CM42" s="3">
        <v>5</v>
      </c>
      <c r="CN42" s="3">
        <v>5</v>
      </c>
      <c r="CO42" s="8" t="s">
        <v>50</v>
      </c>
      <c r="CP42" s="8" t="s">
        <v>49</v>
      </c>
      <c r="CQ42" s="8" t="s">
        <v>51</v>
      </c>
      <c r="CR42" s="8" t="s">
        <v>52</v>
      </c>
      <c r="CS42" s="3">
        <v>-2</v>
      </c>
      <c r="CT42" s="3">
        <v>-1</v>
      </c>
      <c r="CU42" s="3">
        <v>2</v>
      </c>
      <c r="CV42" s="3">
        <v>0</v>
      </c>
      <c r="CW42" s="3">
        <v>1</v>
      </c>
      <c r="CX42" s="13" t="s">
        <v>143</v>
      </c>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row>
    <row r="43" spans="1:129" x14ac:dyDescent="0.25">
      <c r="A43">
        <v>42</v>
      </c>
      <c r="B43">
        <v>2</v>
      </c>
      <c r="C43" s="3" t="s">
        <v>75</v>
      </c>
      <c r="D43" s="3">
        <v>28</v>
      </c>
      <c r="E43" s="3" t="s">
        <v>131</v>
      </c>
      <c r="F43" s="32">
        <v>7</v>
      </c>
      <c r="G43" s="3">
        <v>10</v>
      </c>
      <c r="H43" s="3">
        <v>0</v>
      </c>
      <c r="I43" s="3">
        <v>1</v>
      </c>
      <c r="J43" s="3">
        <v>2.5999999999999999E-2</v>
      </c>
      <c r="K43" s="3">
        <v>0.23</v>
      </c>
      <c r="L43" s="3">
        <f t="shared" si="0"/>
        <v>-0.94675448804677498</v>
      </c>
      <c r="M43" s="3">
        <v>3</v>
      </c>
      <c r="N43" s="10">
        <v>0</v>
      </c>
      <c r="O43" s="10">
        <v>1</v>
      </c>
      <c r="P43" s="10">
        <v>0.16200000000000001</v>
      </c>
      <c r="Q43" s="10">
        <v>0.68600000000000005</v>
      </c>
      <c r="R43" s="10">
        <f t="shared" si="1"/>
        <v>-0.62680910116412081</v>
      </c>
      <c r="S43" s="10">
        <v>4</v>
      </c>
      <c r="T43" s="10">
        <v>9</v>
      </c>
      <c r="U43" s="12">
        <v>0</v>
      </c>
      <c r="V43" s="12">
        <v>1</v>
      </c>
      <c r="W43" s="12">
        <v>7.0000000000000001E-3</v>
      </c>
      <c r="X43" s="12">
        <v>8.0000000000000002E-3</v>
      </c>
      <c r="Y43" s="12">
        <f t="shared" si="2"/>
        <v>-5.7991946977686754E-2</v>
      </c>
      <c r="Z43" s="12">
        <v>4</v>
      </c>
      <c r="AA43" s="12">
        <v>7</v>
      </c>
      <c r="AB43" s="10">
        <v>0</v>
      </c>
      <c r="AC43" s="10">
        <v>1</v>
      </c>
      <c r="AD43" s="10">
        <v>1.67E-2</v>
      </c>
      <c r="AE43" s="10">
        <v>0.64</v>
      </c>
      <c r="AF43" s="10">
        <f t="shared" si="3"/>
        <v>-1.583463502836304</v>
      </c>
      <c r="AG43" s="10">
        <v>3</v>
      </c>
      <c r="AH43" s="10">
        <v>4</v>
      </c>
      <c r="AI43" s="12">
        <v>0</v>
      </c>
      <c r="AJ43" s="12">
        <v>1</v>
      </c>
      <c r="AK43" s="12">
        <v>4.0000000000000001E-3</v>
      </c>
      <c r="AL43" s="12">
        <v>4.1000000000000003E-3</v>
      </c>
      <c r="AM43" s="12">
        <f t="shared" si="4"/>
        <v>-1.0723865391773113E-2</v>
      </c>
      <c r="AN43" s="12">
        <v>3</v>
      </c>
      <c r="AO43" s="12">
        <v>6</v>
      </c>
      <c r="AP43" s="10">
        <v>0</v>
      </c>
      <c r="AQ43" s="10">
        <v>1</v>
      </c>
      <c r="AR43" s="10">
        <v>0.20200000000000001</v>
      </c>
      <c r="AS43" s="10">
        <v>0.66300000000000003</v>
      </c>
      <c r="AT43" s="10">
        <f t="shared" si="5"/>
        <v>-0.51616215895814932</v>
      </c>
      <c r="AU43" s="10">
        <v>3</v>
      </c>
      <c r="AV43" s="10">
        <v>5</v>
      </c>
      <c r="AW43" s="12">
        <v>0</v>
      </c>
      <c r="AX43" s="12">
        <v>1</v>
      </c>
      <c r="AY43" s="12">
        <v>6.0000000000000001E-3</v>
      </c>
      <c r="AZ43" s="12">
        <v>7.0000000000000001E-3</v>
      </c>
      <c r="BA43" s="12">
        <f t="shared" si="6"/>
        <v>-6.6946789630613221E-2</v>
      </c>
      <c r="BB43" s="12">
        <v>3</v>
      </c>
      <c r="BC43" s="12">
        <v>3</v>
      </c>
      <c r="BD43" s="10">
        <v>0</v>
      </c>
      <c r="BE43" s="10">
        <v>1</v>
      </c>
      <c r="BF43" s="10">
        <v>0.24299999999999999</v>
      </c>
      <c r="BG43" s="10">
        <v>0.75900000000000001</v>
      </c>
      <c r="BH43" s="10">
        <f t="shared" si="7"/>
        <v>-0.49463550229716818</v>
      </c>
      <c r="BI43" s="10">
        <v>4</v>
      </c>
      <c r="BJ43" s="10">
        <v>8</v>
      </c>
      <c r="BK43" s="12">
        <v>0</v>
      </c>
      <c r="BL43" s="12">
        <v>1</v>
      </c>
      <c r="BM43" s="12">
        <v>2E-3</v>
      </c>
      <c r="BN43" s="12">
        <v>2.2000000000000001E-3</v>
      </c>
      <c r="BO43" s="12">
        <f t="shared" si="8"/>
        <v>-4.1392685158225057E-2</v>
      </c>
      <c r="BP43" s="12">
        <v>4</v>
      </c>
      <c r="BQ43" s="12">
        <v>10</v>
      </c>
      <c r="BR43" s="10">
        <v>0</v>
      </c>
      <c r="BS43" s="10">
        <v>1</v>
      </c>
      <c r="BT43" s="10">
        <v>0.23200000000000001</v>
      </c>
      <c r="BU43" s="10">
        <v>0.73</v>
      </c>
      <c r="BV43" s="10">
        <f t="shared" si="9"/>
        <v>-0.49783487522955622</v>
      </c>
      <c r="BW43" s="10">
        <v>3</v>
      </c>
      <c r="BX43" s="10">
        <v>1</v>
      </c>
      <c r="BY43" s="12">
        <v>0</v>
      </c>
      <c r="BZ43" s="12">
        <v>1</v>
      </c>
      <c r="CA43" s="12">
        <v>8.0000000000000002E-3</v>
      </c>
      <c r="CB43" s="12">
        <v>8.9999999999999993E-3</v>
      </c>
      <c r="CC43" s="12">
        <f t="shared" si="10"/>
        <v>-5.1152522447381256E-2</v>
      </c>
      <c r="CD43" s="12">
        <v>3</v>
      </c>
      <c r="CE43" s="12">
        <v>2</v>
      </c>
      <c r="CF43" s="4">
        <f t="shared" si="11"/>
        <v>0</v>
      </c>
      <c r="CG43" s="5">
        <f t="shared" si="12"/>
        <v>10</v>
      </c>
      <c r="CH43" s="5">
        <f t="shared" si="13"/>
        <v>-0.39471129500909774</v>
      </c>
      <c r="CI43" s="13" t="s">
        <v>127</v>
      </c>
      <c r="CJ43" s="3">
        <v>4</v>
      </c>
      <c r="CK43" s="3">
        <v>4</v>
      </c>
      <c r="CL43" s="3">
        <v>4</v>
      </c>
      <c r="CM43" s="3">
        <v>4</v>
      </c>
      <c r="CN43" s="3">
        <v>5</v>
      </c>
      <c r="CO43" s="8" t="s">
        <v>49</v>
      </c>
      <c r="CP43" s="8" t="s">
        <v>50</v>
      </c>
      <c r="CQ43" s="8" t="s">
        <v>52</v>
      </c>
      <c r="CR43" s="8" t="s">
        <v>51</v>
      </c>
      <c r="CS43" s="3">
        <v>-1</v>
      </c>
      <c r="CT43" s="3">
        <v>-2</v>
      </c>
      <c r="CU43" s="3">
        <v>1</v>
      </c>
      <c r="CV43" s="3">
        <v>0</v>
      </c>
      <c r="CW43" s="3">
        <v>2</v>
      </c>
      <c r="CX43" s="13" t="s">
        <v>321</v>
      </c>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row>
    <row r="44" spans="1:129" x14ac:dyDescent="0.25">
      <c r="A44">
        <v>43</v>
      </c>
      <c r="B44">
        <v>1</v>
      </c>
      <c r="C44" s="3" t="s">
        <v>16</v>
      </c>
      <c r="D44" s="3">
        <v>38</v>
      </c>
      <c r="E44" s="3" t="s">
        <v>138</v>
      </c>
      <c r="F44" s="3">
        <v>11</v>
      </c>
      <c r="G44" s="3">
        <v>13</v>
      </c>
      <c r="H44" s="3">
        <v>1</v>
      </c>
      <c r="I44" s="3">
        <v>3</v>
      </c>
      <c r="J44" s="3">
        <v>0.23</v>
      </c>
      <c r="K44" s="3">
        <v>0.23</v>
      </c>
      <c r="L44" s="3">
        <f t="shared" si="0"/>
        <v>0</v>
      </c>
      <c r="M44" s="3">
        <v>4</v>
      </c>
      <c r="N44" s="10">
        <v>0</v>
      </c>
      <c r="O44" s="10">
        <v>1</v>
      </c>
      <c r="P44" s="10">
        <v>1.7999999999999999E-2</v>
      </c>
      <c r="Q44" s="10">
        <v>2.4E-2</v>
      </c>
      <c r="R44" s="10">
        <f t="shared" si="1"/>
        <v>-0.12493873660830002</v>
      </c>
      <c r="S44" s="10">
        <v>2</v>
      </c>
      <c r="T44" s="10">
        <v>2</v>
      </c>
      <c r="U44" s="12">
        <v>1</v>
      </c>
      <c r="V44" s="12">
        <v>3</v>
      </c>
      <c r="W44" s="12">
        <v>0.36299999999999999</v>
      </c>
      <c r="X44" s="12">
        <v>0.36299999999999999</v>
      </c>
      <c r="Y44" s="12">
        <f t="shared" si="2"/>
        <v>0</v>
      </c>
      <c r="Z44" s="12">
        <v>2</v>
      </c>
      <c r="AA44" s="12">
        <v>4</v>
      </c>
      <c r="AB44" s="10">
        <v>0</v>
      </c>
      <c r="AC44" s="10">
        <v>1</v>
      </c>
      <c r="AD44" s="10">
        <v>5.2999999999999999E-2</v>
      </c>
      <c r="AE44" s="10">
        <v>7.1999999999999995E-2</v>
      </c>
      <c r="AF44" s="10">
        <f t="shared" si="3"/>
        <v>-0.13305662683047939</v>
      </c>
      <c r="AG44" s="10">
        <v>2</v>
      </c>
      <c r="AH44" s="10">
        <v>7</v>
      </c>
      <c r="AI44" s="12">
        <v>1</v>
      </c>
      <c r="AJ44" s="12">
        <v>3</v>
      </c>
      <c r="AK44" s="12">
        <v>0.25</v>
      </c>
      <c r="AL44" s="12">
        <v>0.25</v>
      </c>
      <c r="AM44" s="12">
        <f t="shared" si="4"/>
        <v>0</v>
      </c>
      <c r="AN44" s="12">
        <v>2</v>
      </c>
      <c r="AO44" s="12">
        <v>5</v>
      </c>
      <c r="AP44" s="10">
        <v>1</v>
      </c>
      <c r="AQ44" s="10">
        <v>3</v>
      </c>
      <c r="AR44" s="10">
        <v>1.2E-2</v>
      </c>
      <c r="AS44" s="10">
        <v>1.2E-2</v>
      </c>
      <c r="AT44" s="10">
        <f t="shared" si="5"/>
        <v>0</v>
      </c>
      <c r="AU44" s="10">
        <v>3</v>
      </c>
      <c r="AV44" s="10">
        <v>6</v>
      </c>
      <c r="AW44" s="12">
        <v>1</v>
      </c>
      <c r="AX44" s="12">
        <v>3</v>
      </c>
      <c r="AY44" s="12">
        <v>0.41499999999999998</v>
      </c>
      <c r="AZ44" s="12">
        <v>0.41499999999999998</v>
      </c>
      <c r="BA44" s="12">
        <f t="shared" si="6"/>
        <v>0</v>
      </c>
      <c r="BB44" s="12">
        <v>3</v>
      </c>
      <c r="BC44" s="12">
        <v>8</v>
      </c>
      <c r="BD44" s="10">
        <v>0</v>
      </c>
      <c r="BE44" s="10">
        <v>2</v>
      </c>
      <c r="BF44" s="10">
        <f>77/(57+623)</f>
        <v>0.11323529411764706</v>
      </c>
      <c r="BG44" s="10">
        <v>8.4000000000000005E-2</v>
      </c>
      <c r="BH44" s="10">
        <f t="shared" si="7"/>
        <v>0.12970252640436386</v>
      </c>
      <c r="BI44" s="10">
        <v>2</v>
      </c>
      <c r="BJ44" s="10">
        <v>3</v>
      </c>
      <c r="BK44" s="12">
        <v>0</v>
      </c>
      <c r="BL44" s="12">
        <v>1</v>
      </c>
      <c r="BM44" s="12">
        <v>2.8000000000000001E-2</v>
      </c>
      <c r="BN44" s="12">
        <v>0.29199999999999998</v>
      </c>
      <c r="BO44" s="12">
        <f t="shared" si="8"/>
        <v>-1.018224820106199</v>
      </c>
      <c r="BP44" s="12">
        <v>2</v>
      </c>
      <c r="BQ44" s="12">
        <v>1</v>
      </c>
      <c r="BR44" s="10">
        <v>0</v>
      </c>
      <c r="BS44" s="10">
        <v>1</v>
      </c>
      <c r="BT44" s="10">
        <f>86/720</f>
        <v>0.11944444444444445</v>
      </c>
      <c r="BU44" s="10">
        <v>7.0000000000000007E-2</v>
      </c>
      <c r="BV44" s="10">
        <f t="shared" si="9"/>
        <v>0.23206791479804242</v>
      </c>
      <c r="BW44" s="10">
        <v>2</v>
      </c>
      <c r="BX44" s="10">
        <v>10</v>
      </c>
      <c r="BY44" s="12">
        <v>0</v>
      </c>
      <c r="BZ44" s="12">
        <v>1</v>
      </c>
      <c r="CA44" s="12">
        <f>32/40</f>
        <v>0.8</v>
      </c>
      <c r="CB44" s="12">
        <v>0.32</v>
      </c>
      <c r="CC44" s="12">
        <f t="shared" si="10"/>
        <v>0.3979400086720376</v>
      </c>
      <c r="CD44" s="12">
        <v>1</v>
      </c>
      <c r="CE44" s="12">
        <v>9</v>
      </c>
      <c r="CF44" s="32">
        <f t="shared" si="11"/>
        <v>4</v>
      </c>
      <c r="CG44" s="5">
        <f t="shared" si="12"/>
        <v>19</v>
      </c>
      <c r="CH44" s="5">
        <f t="shared" si="13"/>
        <v>-5.1650973367053453E-2</v>
      </c>
      <c r="CI44" s="13" t="s">
        <v>71</v>
      </c>
      <c r="CJ44" s="3">
        <v>3</v>
      </c>
      <c r="CK44" s="3">
        <v>4</v>
      </c>
      <c r="CL44" s="3">
        <v>4</v>
      </c>
      <c r="CM44" s="3">
        <v>2</v>
      </c>
      <c r="CN44" s="3">
        <v>2</v>
      </c>
      <c r="CO44" s="8" t="s">
        <v>50</v>
      </c>
      <c r="CP44" s="8" t="s">
        <v>52</v>
      </c>
      <c r="CQ44" s="8" t="s">
        <v>60</v>
      </c>
      <c r="CR44" s="8" t="s">
        <v>49</v>
      </c>
      <c r="CS44" s="3">
        <v>0</v>
      </c>
      <c r="CT44" s="3">
        <v>1</v>
      </c>
      <c r="CU44" s="3">
        <v>2</v>
      </c>
      <c r="CV44" s="3">
        <v>-2</v>
      </c>
      <c r="CW44" s="3">
        <v>-1</v>
      </c>
      <c r="CX44" s="13" t="s">
        <v>321</v>
      </c>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row>
    <row r="45" spans="1:129" x14ac:dyDescent="0.25">
      <c r="A45">
        <v>44</v>
      </c>
      <c r="B45">
        <v>2</v>
      </c>
      <c r="C45" s="3" t="s">
        <v>75</v>
      </c>
      <c r="D45" s="3">
        <v>21</v>
      </c>
      <c r="E45" s="3" t="s">
        <v>144</v>
      </c>
      <c r="F45" s="3">
        <v>10</v>
      </c>
      <c r="G45" s="3">
        <v>13</v>
      </c>
      <c r="H45" s="3">
        <v>1</v>
      </c>
      <c r="I45" s="3">
        <v>3</v>
      </c>
      <c r="J45" s="3">
        <v>0.23</v>
      </c>
      <c r="K45" s="3">
        <v>0.23</v>
      </c>
      <c r="L45" s="3">
        <f t="shared" si="0"/>
        <v>0</v>
      </c>
      <c r="M45" s="3">
        <v>3</v>
      </c>
      <c r="N45" s="10">
        <v>1</v>
      </c>
      <c r="O45" s="10">
        <v>3</v>
      </c>
      <c r="P45" s="10">
        <v>0.68600000000000005</v>
      </c>
      <c r="Q45" s="10">
        <v>0.68600000000000005</v>
      </c>
      <c r="R45" s="10">
        <f t="shared" si="1"/>
        <v>0</v>
      </c>
      <c r="S45" s="10">
        <v>3</v>
      </c>
      <c r="T45" s="10">
        <v>10</v>
      </c>
      <c r="U45" s="12">
        <v>0</v>
      </c>
      <c r="V45" s="12">
        <v>1</v>
      </c>
      <c r="W45" s="12">
        <f>7/967</f>
        <v>7.2388831437435368E-3</v>
      </c>
      <c r="X45" s="12">
        <v>8.0000000000000002E-3</v>
      </c>
      <c r="Y45" s="12">
        <f t="shared" si="2"/>
        <v>-4.3418421060688439E-2</v>
      </c>
      <c r="Z45" s="12">
        <v>3</v>
      </c>
      <c r="AA45" s="12">
        <v>9</v>
      </c>
      <c r="AB45" s="10">
        <v>1</v>
      </c>
      <c r="AC45" s="10">
        <v>3</v>
      </c>
      <c r="AD45" s="10">
        <v>0.64</v>
      </c>
      <c r="AE45" s="10">
        <v>0.64</v>
      </c>
      <c r="AF45" s="10">
        <f t="shared" si="3"/>
        <v>0</v>
      </c>
      <c r="AG45" s="10">
        <v>3</v>
      </c>
      <c r="AH45" s="10">
        <v>2</v>
      </c>
      <c r="AI45" s="12">
        <v>1</v>
      </c>
      <c r="AJ45" s="12">
        <v>3</v>
      </c>
      <c r="AK45" s="12">
        <v>4.1000000000000003E-3</v>
      </c>
      <c r="AL45" s="12">
        <v>4.1000000000000003E-3</v>
      </c>
      <c r="AM45" s="12">
        <f t="shared" si="4"/>
        <v>0</v>
      </c>
      <c r="AN45" s="12">
        <v>3</v>
      </c>
      <c r="AO45" s="12">
        <v>4</v>
      </c>
      <c r="AP45" s="10">
        <v>1</v>
      </c>
      <c r="AQ45" s="10">
        <v>3</v>
      </c>
      <c r="AR45" s="10">
        <v>0.66300000000000003</v>
      </c>
      <c r="AS45" s="10">
        <v>0.66300000000000003</v>
      </c>
      <c r="AT45" s="10">
        <f t="shared" si="5"/>
        <v>0</v>
      </c>
      <c r="AU45" s="10">
        <v>4</v>
      </c>
      <c r="AV45" s="10">
        <v>7</v>
      </c>
      <c r="AW45" s="12">
        <v>1</v>
      </c>
      <c r="AX45" s="12">
        <v>3</v>
      </c>
      <c r="AY45" s="12">
        <v>7.0000000000000001E-3</v>
      </c>
      <c r="AZ45" s="12">
        <v>7.0000000000000001E-3</v>
      </c>
      <c r="BA45" s="12">
        <f t="shared" si="6"/>
        <v>0</v>
      </c>
      <c r="BB45" s="12">
        <v>3</v>
      </c>
      <c r="BC45" s="12">
        <v>5</v>
      </c>
      <c r="BD45" s="10">
        <v>0</v>
      </c>
      <c r="BE45" s="10">
        <v>1</v>
      </c>
      <c r="BF45" s="10">
        <f>240/280</f>
        <v>0.8571428571428571</v>
      </c>
      <c r="BG45" s="10">
        <v>0.75900000000000001</v>
      </c>
      <c r="BH45" s="10">
        <f t="shared" si="7"/>
        <v>5.2811434473906425E-2</v>
      </c>
      <c r="BI45" s="10">
        <v>3</v>
      </c>
      <c r="BJ45" s="10">
        <v>6</v>
      </c>
      <c r="BK45" s="12">
        <v>1</v>
      </c>
      <c r="BL45" s="12">
        <v>3</v>
      </c>
      <c r="BM45" s="12">
        <v>2.2000000000000001E-3</v>
      </c>
      <c r="BN45" s="12">
        <v>2.2000000000000001E-3</v>
      </c>
      <c r="BO45" s="12">
        <f t="shared" si="8"/>
        <v>0</v>
      </c>
      <c r="BP45" s="12">
        <v>2</v>
      </c>
      <c r="BQ45" s="12">
        <v>8</v>
      </c>
      <c r="BR45" s="10">
        <v>1</v>
      </c>
      <c r="BS45" s="10">
        <v>3</v>
      </c>
      <c r="BT45" s="10">
        <v>0.73</v>
      </c>
      <c r="BU45" s="10">
        <v>0.73</v>
      </c>
      <c r="BV45" s="10">
        <f t="shared" si="9"/>
        <v>0</v>
      </c>
      <c r="BW45" s="10">
        <v>3</v>
      </c>
      <c r="BX45" s="10">
        <v>3</v>
      </c>
      <c r="BY45" s="12">
        <v>0</v>
      </c>
      <c r="BZ45" s="12">
        <v>0</v>
      </c>
      <c r="CA45" s="12">
        <f>10/907</f>
        <v>1.1025358324145534E-2</v>
      </c>
      <c r="CB45" s="12">
        <v>8.9999999999999993E-3</v>
      </c>
      <c r="CC45" s="12">
        <f t="shared" si="10"/>
        <v>8.8150203500579838E-2</v>
      </c>
      <c r="CD45" s="12">
        <v>1</v>
      </c>
      <c r="CE45" s="12">
        <v>1</v>
      </c>
      <c r="CF45" s="32">
        <f t="shared" si="11"/>
        <v>7</v>
      </c>
      <c r="CG45" s="5">
        <f t="shared" si="12"/>
        <v>23</v>
      </c>
      <c r="CH45" s="5">
        <f t="shared" si="13"/>
        <v>9.7543216913797831E-3</v>
      </c>
      <c r="CI45" s="13" t="s">
        <v>122</v>
      </c>
      <c r="CJ45" s="3">
        <v>2</v>
      </c>
      <c r="CK45" s="3">
        <v>3</v>
      </c>
      <c r="CL45" s="3">
        <v>5</v>
      </c>
      <c r="CM45" s="3">
        <v>4</v>
      </c>
      <c r="CN45" s="3">
        <v>5</v>
      </c>
      <c r="CO45" s="8" t="s">
        <v>50</v>
      </c>
      <c r="CP45" s="8" t="s">
        <v>49</v>
      </c>
      <c r="CQ45" s="8" t="s">
        <v>51</v>
      </c>
      <c r="CR45" s="8" t="s">
        <v>52</v>
      </c>
      <c r="CS45" s="3">
        <v>-2</v>
      </c>
      <c r="CT45" s="3">
        <v>-1</v>
      </c>
      <c r="CU45" s="3">
        <v>2</v>
      </c>
      <c r="CV45" s="3">
        <v>0</v>
      </c>
      <c r="CW45" s="3">
        <v>1</v>
      </c>
      <c r="CX45" s="13" t="s">
        <v>145</v>
      </c>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row>
    <row r="46" spans="1:129" x14ac:dyDescent="0.25">
      <c r="A46">
        <v>45</v>
      </c>
      <c r="B46">
        <v>1</v>
      </c>
      <c r="C46" s="3" t="s">
        <v>16</v>
      </c>
      <c r="D46" s="3">
        <v>26</v>
      </c>
      <c r="E46" s="3" t="s">
        <v>15</v>
      </c>
      <c r="F46" s="3">
        <v>11</v>
      </c>
      <c r="G46" s="3">
        <v>11</v>
      </c>
      <c r="H46" s="3">
        <v>0</v>
      </c>
      <c r="I46" s="3">
        <v>1</v>
      </c>
      <c r="J46" s="3">
        <v>2.5999999999999999E-2</v>
      </c>
      <c r="K46" s="3">
        <v>0.23</v>
      </c>
      <c r="L46" s="3">
        <f t="shared" si="0"/>
        <v>-0.94675448804677498</v>
      </c>
      <c r="M46" s="3">
        <v>4</v>
      </c>
      <c r="N46" s="10">
        <v>1</v>
      </c>
      <c r="O46" s="10">
        <v>3</v>
      </c>
      <c r="P46" s="10">
        <v>2.4E-2</v>
      </c>
      <c r="Q46" s="10">
        <v>2.4E-2</v>
      </c>
      <c r="R46" s="10">
        <f t="shared" si="1"/>
        <v>0</v>
      </c>
      <c r="S46" s="10">
        <v>1</v>
      </c>
      <c r="T46" s="10">
        <v>1</v>
      </c>
      <c r="U46" s="12">
        <v>1</v>
      </c>
      <c r="V46" s="12">
        <v>3</v>
      </c>
      <c r="W46" s="12">
        <v>0.36299999999999999</v>
      </c>
      <c r="X46" s="12">
        <v>0.36299999999999999</v>
      </c>
      <c r="Y46" s="12">
        <f t="shared" si="2"/>
        <v>0</v>
      </c>
      <c r="Z46" s="12">
        <v>3</v>
      </c>
      <c r="AA46" s="12">
        <v>2</v>
      </c>
      <c r="AB46" s="10">
        <v>0</v>
      </c>
      <c r="AC46" s="10">
        <v>1</v>
      </c>
      <c r="AD46" s="10">
        <v>0.04</v>
      </c>
      <c r="AE46" s="10">
        <v>7.1999999999999995E-2</v>
      </c>
      <c r="AF46" s="10">
        <f t="shared" si="3"/>
        <v>-0.25527250510330607</v>
      </c>
      <c r="AG46" s="10">
        <v>4</v>
      </c>
      <c r="AH46" s="10">
        <v>9</v>
      </c>
      <c r="AI46" s="12">
        <v>0</v>
      </c>
      <c r="AJ46" s="12">
        <v>1</v>
      </c>
      <c r="AK46" s="12">
        <v>0.02</v>
      </c>
      <c r="AL46" s="12">
        <v>0.25</v>
      </c>
      <c r="AM46" s="12">
        <f t="shared" si="4"/>
        <v>-1.0969100130080565</v>
      </c>
      <c r="AN46" s="12">
        <v>4</v>
      </c>
      <c r="AO46" s="12">
        <v>7</v>
      </c>
      <c r="AP46" s="10">
        <v>1</v>
      </c>
      <c r="AQ46" s="10">
        <v>3</v>
      </c>
      <c r="AR46" s="10">
        <v>1.2E-2</v>
      </c>
      <c r="AS46" s="10">
        <v>1.2E-2</v>
      </c>
      <c r="AT46" s="10">
        <f t="shared" si="5"/>
        <v>0</v>
      </c>
      <c r="AU46" s="10">
        <v>4</v>
      </c>
      <c r="AV46" s="10">
        <v>4</v>
      </c>
      <c r="AW46" s="12">
        <v>1</v>
      </c>
      <c r="AX46" s="12">
        <v>3</v>
      </c>
      <c r="AY46" s="12">
        <v>0.41499999999999998</v>
      </c>
      <c r="AZ46" s="12">
        <v>0.41499999999999998</v>
      </c>
      <c r="BA46" s="12">
        <f t="shared" si="6"/>
        <v>0</v>
      </c>
      <c r="BB46" s="12">
        <v>4</v>
      </c>
      <c r="BC46" s="12">
        <v>6</v>
      </c>
      <c r="BD46" s="10">
        <v>1</v>
      </c>
      <c r="BE46" s="10">
        <v>3</v>
      </c>
      <c r="BF46" s="10">
        <v>8.4000000000000005E-2</v>
      </c>
      <c r="BG46" s="10">
        <v>8.4000000000000005E-2</v>
      </c>
      <c r="BH46" s="10">
        <f t="shared" si="7"/>
        <v>0</v>
      </c>
      <c r="BI46" s="10">
        <v>4</v>
      </c>
      <c r="BJ46" s="10">
        <v>5</v>
      </c>
      <c r="BK46" s="12">
        <v>1</v>
      </c>
      <c r="BL46" s="12">
        <v>3</v>
      </c>
      <c r="BM46" s="12">
        <v>0.29199999999999998</v>
      </c>
      <c r="BN46" s="12">
        <v>0.29199999999999998</v>
      </c>
      <c r="BO46" s="12">
        <f t="shared" si="8"/>
        <v>0</v>
      </c>
      <c r="BP46" s="12">
        <v>4</v>
      </c>
      <c r="BQ46" s="12">
        <v>3</v>
      </c>
      <c r="BR46" s="10">
        <v>1</v>
      </c>
      <c r="BS46" s="10">
        <v>3</v>
      </c>
      <c r="BT46" s="10">
        <v>7.0000000000000007E-2</v>
      </c>
      <c r="BU46" s="10">
        <v>7.0000000000000007E-2</v>
      </c>
      <c r="BV46" s="10">
        <f t="shared" si="9"/>
        <v>0</v>
      </c>
      <c r="BW46" s="10">
        <v>4</v>
      </c>
      <c r="BX46" s="10">
        <v>8</v>
      </c>
      <c r="BY46" s="12">
        <v>1</v>
      </c>
      <c r="BZ46" s="12">
        <v>3</v>
      </c>
      <c r="CA46" s="12">
        <v>0.32</v>
      </c>
      <c r="CB46" s="12">
        <v>0.32</v>
      </c>
      <c r="CC46" s="12">
        <f t="shared" si="10"/>
        <v>0</v>
      </c>
      <c r="CD46" s="12">
        <v>4</v>
      </c>
      <c r="CE46" s="12">
        <v>10</v>
      </c>
      <c r="CF46" s="32">
        <f t="shared" si="11"/>
        <v>8</v>
      </c>
      <c r="CG46" s="5">
        <f t="shared" si="12"/>
        <v>26</v>
      </c>
      <c r="CH46" s="5">
        <f t="shared" si="13"/>
        <v>-0.13521825181113625</v>
      </c>
      <c r="CI46" s="13" t="s">
        <v>68</v>
      </c>
      <c r="CJ46" s="3">
        <v>2</v>
      </c>
      <c r="CK46" s="3">
        <v>4</v>
      </c>
      <c r="CL46" s="3">
        <v>5</v>
      </c>
      <c r="CM46" s="3">
        <v>4</v>
      </c>
      <c r="CN46" s="3">
        <v>2</v>
      </c>
      <c r="CO46" s="8" t="s">
        <v>50</v>
      </c>
      <c r="CP46" s="8" t="s">
        <v>52</v>
      </c>
      <c r="CQ46" s="8" t="s">
        <v>49</v>
      </c>
      <c r="CR46" s="8" t="s">
        <v>51</v>
      </c>
      <c r="CS46" s="3">
        <v>-1</v>
      </c>
      <c r="CT46" s="3">
        <v>1</v>
      </c>
      <c r="CU46" s="3">
        <v>2</v>
      </c>
      <c r="CV46" s="3">
        <v>0</v>
      </c>
      <c r="CW46" s="3">
        <v>-2</v>
      </c>
      <c r="CX46" s="1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row>
    <row r="47" spans="1:129" x14ac:dyDescent="0.25">
      <c r="A47" s="16" t="s">
        <v>119</v>
      </c>
      <c r="B47" s="7"/>
      <c r="C47" s="7"/>
      <c r="D47" s="7">
        <f t="shared" ref="D47" si="14">AVERAGE(D2:D46)</f>
        <v>27.622222222222224</v>
      </c>
      <c r="E47" s="7"/>
      <c r="F47" s="7">
        <f>AVERAGE(F2:F46)</f>
        <v>9.6888888888888882</v>
      </c>
      <c r="G47" s="7">
        <f t="shared" ref="G47:CA47" si="15">AVERAGE(G2:G46)</f>
        <v>10.977777777777778</v>
      </c>
      <c r="H47" s="7">
        <f t="shared" si="15"/>
        <v>0.15555555555555556</v>
      </c>
      <c r="I47" s="7">
        <f t="shared" si="15"/>
        <v>0.9555555555555556</v>
      </c>
      <c r="J47" s="7">
        <f t="shared" si="15"/>
        <v>0.25106585336615994</v>
      </c>
      <c r="K47" s="7">
        <f t="shared" si="15"/>
        <v>0.23000000000000026</v>
      </c>
      <c r="L47" s="7">
        <f t="shared" si="15"/>
        <v>-0.25177877611126193</v>
      </c>
      <c r="M47" s="7">
        <f t="shared" si="15"/>
        <v>2.9333333333333331</v>
      </c>
      <c r="N47" s="7">
        <f t="shared" si="15"/>
        <v>0.28888888888888886</v>
      </c>
      <c r="O47" s="7">
        <f t="shared" si="15"/>
        <v>1.5111111111111111</v>
      </c>
      <c r="P47" s="7">
        <f t="shared" si="15"/>
        <v>0.26785308057841606</v>
      </c>
      <c r="Q47" s="7">
        <f t="shared" si="15"/>
        <v>0.31822222222222207</v>
      </c>
      <c r="R47" s="7">
        <f t="shared" si="15"/>
        <v>-0.13600648789641379</v>
      </c>
      <c r="S47" s="7">
        <f t="shared" si="15"/>
        <v>3.0666666666666669</v>
      </c>
      <c r="T47" s="7"/>
      <c r="U47" s="7">
        <f t="shared" si="15"/>
        <v>0.28888888888888886</v>
      </c>
      <c r="V47" s="7">
        <f t="shared" si="15"/>
        <v>1.5555555555555556</v>
      </c>
      <c r="W47" s="7">
        <f t="shared" si="15"/>
        <v>0.13016593534005419</v>
      </c>
      <c r="X47" s="7">
        <f t="shared" si="15"/>
        <v>0.20522222222222222</v>
      </c>
      <c r="Y47" s="7">
        <f t="shared" si="15"/>
        <v>-0.15685480223849896</v>
      </c>
      <c r="Z47" s="7">
        <f t="shared" si="15"/>
        <v>3.1333333333333333</v>
      </c>
      <c r="AA47" s="7"/>
      <c r="AB47" s="7">
        <f t="shared" si="15"/>
        <v>0.22222222222222221</v>
      </c>
      <c r="AC47" s="7">
        <f t="shared" si="15"/>
        <v>1.288888888888889</v>
      </c>
      <c r="AD47" s="7">
        <f t="shared" si="15"/>
        <v>0.28801759481502365</v>
      </c>
      <c r="AE47" s="7">
        <f t="shared" si="15"/>
        <v>0.32444444444444437</v>
      </c>
      <c r="AF47" s="7">
        <f t="shared" si="15"/>
        <v>-7.3903940582846953E-2</v>
      </c>
      <c r="AG47" s="7">
        <f t="shared" si="15"/>
        <v>3.0444444444444443</v>
      </c>
      <c r="AH47" s="7"/>
      <c r="AI47" s="7">
        <f t="shared" si="15"/>
        <v>0.24444444444444444</v>
      </c>
      <c r="AJ47" s="7">
        <f t="shared" si="15"/>
        <v>1.288888888888889</v>
      </c>
      <c r="AK47" s="7">
        <f t="shared" si="15"/>
        <v>0.15706518518518514</v>
      </c>
      <c r="AL47" s="7">
        <f t="shared" si="15"/>
        <v>0.14071111111111118</v>
      </c>
      <c r="AM47" s="7">
        <f t="shared" si="15"/>
        <v>1.6608105565126891E-2</v>
      </c>
      <c r="AN47" s="7">
        <f t="shared" si="15"/>
        <v>2.9777777777777779</v>
      </c>
      <c r="AO47" s="7"/>
      <c r="AP47" s="7">
        <f t="shared" si="15"/>
        <v>0.31111111111111112</v>
      </c>
      <c r="AQ47" s="7">
        <f t="shared" si="15"/>
        <v>1.4888888888888889</v>
      </c>
      <c r="AR47" s="7">
        <f t="shared" si="15"/>
        <v>0.31716719576719565</v>
      </c>
      <c r="AS47" s="7">
        <f t="shared" si="15"/>
        <v>0.3013333333333334</v>
      </c>
      <c r="AT47" s="7">
        <f t="shared" si="15"/>
        <v>2.4594970818581533E-2</v>
      </c>
      <c r="AU47" s="7">
        <f t="shared" si="15"/>
        <v>3.4666666666666668</v>
      </c>
      <c r="AV47" s="7"/>
      <c r="AW47" s="7">
        <f t="shared" si="15"/>
        <v>0.33333333333333331</v>
      </c>
      <c r="AX47" s="7">
        <f t="shared" si="15"/>
        <v>1.5111111111111111</v>
      </c>
      <c r="AY47" s="7">
        <f t="shared" si="15"/>
        <v>0.32682222222222218</v>
      </c>
      <c r="AZ47" s="7">
        <f t="shared" si="15"/>
        <v>0.23366666666666649</v>
      </c>
      <c r="BA47" s="7">
        <f t="shared" si="15"/>
        <v>4.0527264606031024E-2</v>
      </c>
      <c r="BB47" s="7">
        <f t="shared" si="15"/>
        <v>3.2666666666666666</v>
      </c>
      <c r="BC47" s="7"/>
      <c r="BD47" s="7">
        <f t="shared" si="15"/>
        <v>0.22222222222222221</v>
      </c>
      <c r="BE47" s="7">
        <f t="shared" si="15"/>
        <v>1.4</v>
      </c>
      <c r="BF47" s="7">
        <f t="shared" si="15"/>
        <v>0.30199713173658993</v>
      </c>
      <c r="BG47" s="7">
        <f t="shared" si="15"/>
        <v>0.38399999999999995</v>
      </c>
      <c r="BH47" s="7">
        <f t="shared" si="15"/>
        <v>-0.10726659668488306</v>
      </c>
      <c r="BI47" s="7">
        <f t="shared" si="15"/>
        <v>3.0666666666666669</v>
      </c>
      <c r="BJ47" s="7"/>
      <c r="BK47" s="7">
        <f t="shared" si="15"/>
        <v>0.26666666666666666</v>
      </c>
      <c r="BL47" s="7">
        <f t="shared" si="15"/>
        <v>1.4444444444444444</v>
      </c>
      <c r="BM47" s="7">
        <f t="shared" si="15"/>
        <v>0.10887450452314339</v>
      </c>
      <c r="BN47" s="7">
        <f t="shared" si="15"/>
        <v>0.16320000000000001</v>
      </c>
      <c r="BO47" s="7">
        <f t="shared" si="15"/>
        <v>-0.1624393735223523</v>
      </c>
      <c r="BP47" s="7">
        <f t="shared" si="15"/>
        <v>3.0444444444444443</v>
      </c>
      <c r="BQ47" s="7"/>
      <c r="BR47" s="7">
        <f t="shared" si="15"/>
        <v>0.28888888888888886</v>
      </c>
      <c r="BS47" s="7">
        <f t="shared" si="15"/>
        <v>1.4666666666666666</v>
      </c>
      <c r="BT47" s="7">
        <f t="shared" si="15"/>
        <v>0.35980570171576376</v>
      </c>
      <c r="BU47" s="7">
        <f t="shared" si="15"/>
        <v>0.36333333333333351</v>
      </c>
      <c r="BV47" s="7">
        <f t="shared" si="15"/>
        <v>4.8027555801189023E-3</v>
      </c>
      <c r="BW47" s="7">
        <f t="shared" si="15"/>
        <v>2.911111111111111</v>
      </c>
      <c r="BX47" s="7"/>
      <c r="BY47" s="7">
        <f t="shared" si="15"/>
        <v>0.26666666666666666</v>
      </c>
      <c r="BZ47" s="7">
        <f t="shared" si="15"/>
        <v>1.4222222222222223</v>
      </c>
      <c r="CA47" s="7">
        <f t="shared" si="15"/>
        <v>0.16229817642101313</v>
      </c>
      <c r="CB47" s="7">
        <f t="shared" ref="CB47:CN47" si="16">AVERAGE(CB2:CB46)</f>
        <v>0.1817777777777779</v>
      </c>
      <c r="CC47" s="7">
        <f t="shared" si="16"/>
        <v>1.7029363303448983E-2</v>
      </c>
      <c r="CD47" s="7">
        <f t="shared" si="16"/>
        <v>3</v>
      </c>
      <c r="CE47" s="7"/>
      <c r="CF47" s="7">
        <f t="shared" si="16"/>
        <v>2.7333333333333334</v>
      </c>
      <c r="CG47" s="7">
        <f t="shared" si="16"/>
        <v>14.377777777777778</v>
      </c>
      <c r="CH47" s="7"/>
      <c r="CI47" s="22"/>
      <c r="CJ47" s="7">
        <f t="shared" si="16"/>
        <v>2.4222222222222221</v>
      </c>
      <c r="CK47" s="7">
        <f t="shared" si="16"/>
        <v>2.9333333333333331</v>
      </c>
      <c r="CL47" s="7">
        <f t="shared" si="16"/>
        <v>4.6444444444444448</v>
      </c>
      <c r="CM47" s="7">
        <f t="shared" si="16"/>
        <v>3.5555555555555554</v>
      </c>
      <c r="CN47" s="7">
        <f t="shared" si="16"/>
        <v>3.6222222222222222</v>
      </c>
      <c r="CO47" s="7"/>
      <c r="CP47" s="7"/>
      <c r="CQ47" s="7"/>
      <c r="CR47" s="7"/>
      <c r="CS47" s="7">
        <f t="shared" ref="CS47" si="17">AVERAGE(CS2:CS46)</f>
        <v>-1.2</v>
      </c>
      <c r="CT47" s="7">
        <f t="shared" ref="CT47" si="18">AVERAGE(CT2:CT46)</f>
        <v>-0.66666666666666663</v>
      </c>
      <c r="CU47" s="7">
        <f t="shared" ref="CU47" si="19">AVERAGE(CU2:CU46)</f>
        <v>1.7777777777777777</v>
      </c>
      <c r="CV47" s="7">
        <f t="shared" ref="CV47" si="20">AVERAGE(CV2:CV46)</f>
        <v>-0.22222222222222221</v>
      </c>
      <c r="CW47" s="7">
        <f t="shared" ref="CW47" si="21">AVERAGE(CW2:CW46)</f>
        <v>0.31111111111111112</v>
      </c>
      <c r="CX47" s="7"/>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row>
    <row r="48" spans="1:129" x14ac:dyDescent="0.25">
      <c r="A48" s="16" t="s">
        <v>120</v>
      </c>
      <c r="B48" s="6"/>
      <c r="C48" s="7"/>
      <c r="D48" s="7">
        <f t="shared" ref="D48" si="22">_xlfn.STDEV.S(D2:D46)</f>
        <v>7.6374939038478518</v>
      </c>
      <c r="E48" s="7"/>
      <c r="F48" s="7">
        <f>_xlfn.STDEV.S(F2:F46)</f>
        <v>1.5495193128870948</v>
      </c>
      <c r="G48" s="7">
        <f t="shared" ref="G48:CA48" si="23">_xlfn.STDEV.S(G2:G46)</f>
        <v>1.9480630110315995</v>
      </c>
      <c r="H48" s="7">
        <f t="shared" si="23"/>
        <v>0.36652889973838948</v>
      </c>
      <c r="I48" s="7">
        <f t="shared" si="23"/>
        <v>1.0434983894999019</v>
      </c>
      <c r="J48" s="7">
        <f t="shared" si="23"/>
        <v>0.29518438117831258</v>
      </c>
      <c r="K48" s="7">
        <f t="shared" si="23"/>
        <v>2.5262287104570926E-16</v>
      </c>
      <c r="L48" s="7">
        <f t="shared" si="23"/>
        <v>0.52475147587522486</v>
      </c>
      <c r="M48" s="7">
        <f t="shared" si="23"/>
        <v>0.91452918836067587</v>
      </c>
      <c r="N48" s="7">
        <f t="shared" si="23"/>
        <v>0.45836776730155243</v>
      </c>
      <c r="O48" s="7">
        <f t="shared" si="23"/>
        <v>1.079187872729519</v>
      </c>
      <c r="P48" s="7">
        <f t="shared" si="23"/>
        <v>0.33156533303221419</v>
      </c>
      <c r="Q48" s="7">
        <f t="shared" si="23"/>
        <v>0.33266751685079948</v>
      </c>
      <c r="R48" s="7">
        <f t="shared" si="23"/>
        <v>0.55759548831279682</v>
      </c>
      <c r="S48" s="7">
        <f t="shared" si="23"/>
        <v>1.031327476428493</v>
      </c>
      <c r="T48" s="7"/>
      <c r="U48" s="7">
        <f t="shared" si="23"/>
        <v>0.45836776730155243</v>
      </c>
      <c r="V48" s="7">
        <f t="shared" si="23"/>
        <v>1.0347497623614468</v>
      </c>
      <c r="W48" s="7">
        <f t="shared" si="23"/>
        <v>0.18066034962348698</v>
      </c>
      <c r="X48" s="7">
        <f t="shared" si="23"/>
        <v>0.17839421220851009</v>
      </c>
      <c r="Y48" s="7">
        <f t="shared" si="23"/>
        <v>0.85681429724853198</v>
      </c>
      <c r="Z48" s="7">
        <f t="shared" si="23"/>
        <v>0.9194860224356568</v>
      </c>
      <c r="AA48" s="7"/>
      <c r="AB48" s="7">
        <f t="shared" si="23"/>
        <v>0.42043748259126085</v>
      </c>
      <c r="AC48" s="7">
        <f t="shared" si="23"/>
        <v>1.0140428138312643</v>
      </c>
      <c r="AD48" s="7">
        <f t="shared" si="23"/>
        <v>0.28336027075419479</v>
      </c>
      <c r="AE48" s="7">
        <f t="shared" si="23"/>
        <v>0.28543073953361631</v>
      </c>
      <c r="AF48" s="7">
        <f t="shared" si="23"/>
        <v>0.41653422829214892</v>
      </c>
      <c r="AG48" s="7">
        <f t="shared" si="23"/>
        <v>0.92823281649388012</v>
      </c>
      <c r="AH48" s="7"/>
      <c r="AI48" s="7">
        <f t="shared" si="23"/>
        <v>0.43461349368017654</v>
      </c>
      <c r="AJ48" s="7">
        <f t="shared" si="23"/>
        <v>1.0579186732409629</v>
      </c>
      <c r="AK48" s="7">
        <f t="shared" si="23"/>
        <v>0.24818622559181827</v>
      </c>
      <c r="AL48" s="7">
        <f t="shared" si="23"/>
        <v>0.12356939938612001</v>
      </c>
      <c r="AM48" s="7">
        <f t="shared" si="23"/>
        <v>0.89754590764386821</v>
      </c>
      <c r="AN48" s="7">
        <f t="shared" si="23"/>
        <v>1.0110500592068732</v>
      </c>
      <c r="AO48" s="7"/>
      <c r="AP48" s="7">
        <f t="shared" si="23"/>
        <v>0.468179366473918</v>
      </c>
      <c r="AQ48" s="7">
        <f t="shared" si="23"/>
        <v>1.079187872729519</v>
      </c>
      <c r="AR48" s="7">
        <f t="shared" si="23"/>
        <v>0.37706017538708314</v>
      </c>
      <c r="AS48" s="7">
        <f t="shared" si="23"/>
        <v>0.32713980886687333</v>
      </c>
      <c r="AT48" s="7">
        <f t="shared" si="23"/>
        <v>0.57368358619484405</v>
      </c>
      <c r="AU48" s="7">
        <f t="shared" si="23"/>
        <v>0.72613547446239557</v>
      </c>
      <c r="AV48" s="7"/>
      <c r="AW48" s="7">
        <f t="shared" si="23"/>
        <v>0.47673129462279618</v>
      </c>
      <c r="AX48" s="7">
        <f t="shared" si="23"/>
        <v>1.1205157542647741</v>
      </c>
      <c r="AY48" s="7">
        <f t="shared" si="23"/>
        <v>0.89985004530777457</v>
      </c>
      <c r="AZ48" s="7">
        <f t="shared" si="23"/>
        <v>0.20502771431287958</v>
      </c>
      <c r="BA48" s="7">
        <f t="shared" si="23"/>
        <v>0.9424573791276275</v>
      </c>
      <c r="BB48" s="7">
        <f t="shared" si="23"/>
        <v>0.86339709604245585</v>
      </c>
      <c r="BC48" s="7"/>
      <c r="BD48" s="7">
        <f t="shared" si="23"/>
        <v>0.42043748259126085</v>
      </c>
      <c r="BE48" s="7">
        <f t="shared" si="23"/>
        <v>1.0313274764284928</v>
      </c>
      <c r="BF48" s="7">
        <f t="shared" si="23"/>
        <v>0.28894168162122763</v>
      </c>
      <c r="BG48" s="7">
        <f t="shared" si="23"/>
        <v>0.33920026264998443</v>
      </c>
      <c r="BH48" s="7">
        <f t="shared" si="23"/>
        <v>0.41883204382353706</v>
      </c>
      <c r="BI48" s="7">
        <f t="shared" si="23"/>
        <v>0.88933069828331635</v>
      </c>
      <c r="BJ48" s="7"/>
      <c r="BK48" s="7">
        <f t="shared" si="23"/>
        <v>0.44721359549995793</v>
      </c>
      <c r="BL48" s="7">
        <f t="shared" si="23"/>
        <v>0.98984745279158037</v>
      </c>
      <c r="BM48" s="7">
        <f t="shared" si="23"/>
        <v>0.18554580083079666</v>
      </c>
      <c r="BN48" s="7">
        <f t="shared" si="23"/>
        <v>0.14562997943105974</v>
      </c>
      <c r="BO48" s="7">
        <f t="shared" si="23"/>
        <v>0.98221317340002212</v>
      </c>
      <c r="BP48" s="7">
        <f t="shared" si="23"/>
        <v>0.97597400197200557</v>
      </c>
      <c r="BQ48" s="7"/>
      <c r="BR48" s="7">
        <f t="shared" si="23"/>
        <v>0.45836776730155243</v>
      </c>
      <c r="BS48" s="7">
        <f t="shared" si="23"/>
        <v>1.0574411653523887</v>
      </c>
      <c r="BT48" s="7">
        <f t="shared" si="23"/>
        <v>0.32656596113443975</v>
      </c>
      <c r="BU48" s="7">
        <f t="shared" si="23"/>
        <v>0.33166247903553953</v>
      </c>
      <c r="BV48" s="7">
        <f t="shared" si="23"/>
        <v>0.36615158171278905</v>
      </c>
      <c r="BW48" s="7">
        <f t="shared" si="23"/>
        <v>0.70136951168352901</v>
      </c>
      <c r="BX48" s="7"/>
      <c r="BY48" s="7">
        <f t="shared" si="23"/>
        <v>0.44721359549995793</v>
      </c>
      <c r="BZ48" s="7">
        <f t="shared" si="23"/>
        <v>1.0550503841671794</v>
      </c>
      <c r="CA48" s="7">
        <f t="shared" si="23"/>
        <v>0.20670851417475661</v>
      </c>
      <c r="CB48" s="7">
        <f t="shared" ref="CB48:CN48" si="24">_xlfn.STDEV.S(CB2:CB46)</f>
        <v>0.15628338027280742</v>
      </c>
      <c r="CC48" s="7">
        <f t="shared" si="24"/>
        <v>0.73906818769951488</v>
      </c>
      <c r="CD48" s="7">
        <f t="shared" si="24"/>
        <v>0.92932037728458516</v>
      </c>
      <c r="CE48" s="7"/>
      <c r="CF48" s="7">
        <f t="shared" si="24"/>
        <v>3.8694608503934074</v>
      </c>
      <c r="CG48" s="7">
        <f t="shared" si="24"/>
        <v>9.0736604042312035</v>
      </c>
      <c r="CH48" s="7"/>
      <c r="CI48" s="22"/>
      <c r="CJ48" s="7">
        <f t="shared" si="24"/>
        <v>1.1178081004783196</v>
      </c>
      <c r="CK48" s="7">
        <f t="shared" si="24"/>
        <v>1.2504544628399563</v>
      </c>
      <c r="CL48" s="7">
        <f t="shared" si="24"/>
        <v>0.57030914884168371</v>
      </c>
      <c r="CM48" s="7">
        <f t="shared" si="24"/>
        <v>0.98984745279158004</v>
      </c>
      <c r="CN48" s="7">
        <f t="shared" si="24"/>
        <v>1.11373427728702</v>
      </c>
      <c r="CO48" s="7"/>
      <c r="CP48" s="7"/>
      <c r="CQ48" s="7"/>
      <c r="CR48" s="7"/>
      <c r="CS48" s="7">
        <f t="shared" ref="CS48:CW48" si="25">_xlfn.STDEV.S(CS2:CS46)</f>
        <v>1.1599373023808421</v>
      </c>
      <c r="CT48" s="7">
        <f t="shared" si="25"/>
        <v>1.087114613009218</v>
      </c>
      <c r="CU48" s="7">
        <f t="shared" si="25"/>
        <v>0.59882038925362124</v>
      </c>
      <c r="CV48" s="7">
        <f t="shared" si="25"/>
        <v>1.0420453856999636</v>
      </c>
      <c r="CW48" s="7">
        <f t="shared" si="25"/>
        <v>0.97286414594466708</v>
      </c>
      <c r="CX48" s="7"/>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row>
    <row r="49" spans="3:129" x14ac:dyDescent="0.25">
      <c r="C49" s="3"/>
      <c r="D49" s="3">
        <f>MIN(D2:D46)</f>
        <v>19</v>
      </c>
      <c r="E49" s="3"/>
      <c r="F49" s="3">
        <f>MIN(F2:F46)</f>
        <v>6</v>
      </c>
      <c r="G49" s="3">
        <f>MIN(G2:G46)</f>
        <v>4</v>
      </c>
      <c r="H49" s="3"/>
      <c r="I49" s="3"/>
      <c r="J49" s="3"/>
      <c r="K49" s="3"/>
      <c r="L49" s="3"/>
      <c r="M49" s="3"/>
      <c r="N49" s="9" t="s">
        <v>2</v>
      </c>
      <c r="O49" s="9" t="s">
        <v>18</v>
      </c>
      <c r="P49" s="9" t="s">
        <v>79</v>
      </c>
      <c r="Q49" s="9" t="s">
        <v>80</v>
      </c>
      <c r="R49" s="9" t="s">
        <v>81</v>
      </c>
      <c r="S49" s="9" t="s">
        <v>19</v>
      </c>
      <c r="T49" s="9"/>
      <c r="U49" s="11" t="s">
        <v>3</v>
      </c>
      <c r="V49" s="11" t="s">
        <v>20</v>
      </c>
      <c r="W49" s="11" t="s">
        <v>82</v>
      </c>
      <c r="X49" s="11" t="s">
        <v>84</v>
      </c>
      <c r="Y49" s="11" t="s">
        <v>83</v>
      </c>
      <c r="Z49" s="11" t="s">
        <v>21</v>
      </c>
      <c r="AA49" s="11"/>
      <c r="AB49" s="9" t="s">
        <v>4</v>
      </c>
      <c r="AC49" s="9" t="s">
        <v>24</v>
      </c>
      <c r="AD49" s="9" t="s">
        <v>88</v>
      </c>
      <c r="AE49" s="9" t="s">
        <v>89</v>
      </c>
      <c r="AF49" s="9" t="s">
        <v>90</v>
      </c>
      <c r="AG49" s="9" t="s">
        <v>25</v>
      </c>
      <c r="AH49" s="9"/>
      <c r="AI49" s="11" t="s">
        <v>5</v>
      </c>
      <c r="AJ49" s="11" t="s">
        <v>26</v>
      </c>
      <c r="AK49" s="11" t="s">
        <v>85</v>
      </c>
      <c r="AL49" s="11" t="s">
        <v>86</v>
      </c>
      <c r="AM49" s="11" t="s">
        <v>87</v>
      </c>
      <c r="AN49" s="11" t="s">
        <v>27</v>
      </c>
      <c r="AO49" s="11"/>
      <c r="AP49" s="9" t="s">
        <v>6</v>
      </c>
      <c r="AQ49" s="9" t="s">
        <v>28</v>
      </c>
      <c r="AR49" s="9" t="s">
        <v>91</v>
      </c>
      <c r="AS49" s="9" t="s">
        <v>92</v>
      </c>
      <c r="AT49" s="9" t="s">
        <v>93</v>
      </c>
      <c r="AU49" s="9" t="s">
        <v>29</v>
      </c>
      <c r="AV49" s="9"/>
      <c r="AW49" s="11" t="s">
        <v>7</v>
      </c>
      <c r="AX49" s="11" t="s">
        <v>30</v>
      </c>
      <c r="AY49" s="11" t="s">
        <v>94</v>
      </c>
      <c r="AZ49" s="11" t="s">
        <v>95</v>
      </c>
      <c r="BA49" s="11" t="s">
        <v>96</v>
      </c>
      <c r="BB49" s="11" t="s">
        <v>31</v>
      </c>
      <c r="BC49" s="11"/>
      <c r="BD49" s="9" t="s">
        <v>10</v>
      </c>
      <c r="BE49" s="9" t="s">
        <v>32</v>
      </c>
      <c r="BF49" s="9" t="s">
        <v>97</v>
      </c>
      <c r="BG49" s="9" t="s">
        <v>98</v>
      </c>
      <c r="BH49" s="9" t="s">
        <v>99</v>
      </c>
      <c r="BI49" s="9" t="s">
        <v>33</v>
      </c>
      <c r="BJ49" s="9"/>
      <c r="BK49" s="11" t="s">
        <v>11</v>
      </c>
      <c r="BL49" s="11" t="s">
        <v>34</v>
      </c>
      <c r="BM49" s="11" t="s">
        <v>100</v>
      </c>
      <c r="BN49" s="11" t="s">
        <v>101</v>
      </c>
      <c r="BO49" s="11" t="s">
        <v>102</v>
      </c>
      <c r="BP49" s="11" t="s">
        <v>35</v>
      </c>
      <c r="BQ49" s="11"/>
      <c r="BR49" s="9" t="s">
        <v>8</v>
      </c>
      <c r="BS49" s="9" t="s">
        <v>36</v>
      </c>
      <c r="BT49" s="9" t="s">
        <v>103</v>
      </c>
      <c r="BU49" s="9" t="s">
        <v>104</v>
      </c>
      <c r="BV49" s="9" t="s">
        <v>105</v>
      </c>
      <c r="BW49" s="9" t="s">
        <v>37</v>
      </c>
      <c r="BX49" s="9"/>
      <c r="BY49" s="11" t="s">
        <v>9</v>
      </c>
      <c r="BZ49" s="11" t="s">
        <v>38</v>
      </c>
      <c r="CA49" s="11" t="s">
        <v>106</v>
      </c>
      <c r="CB49" s="11" t="s">
        <v>107</v>
      </c>
      <c r="CC49" s="11" t="s">
        <v>108</v>
      </c>
      <c r="CD49" s="11" t="s">
        <v>39</v>
      </c>
      <c r="CE49" s="11"/>
      <c r="CF49" s="1" t="s">
        <v>56</v>
      </c>
      <c r="CG49" s="2" t="s">
        <v>55</v>
      </c>
      <c r="CH49" s="2"/>
      <c r="CJ49" t="s">
        <v>40</v>
      </c>
      <c r="CK49" t="s">
        <v>41</v>
      </c>
      <c r="CL49" t="s">
        <v>42</v>
      </c>
      <c r="CM49" t="s">
        <v>43</v>
      </c>
      <c r="CN49" t="s">
        <v>44</v>
      </c>
      <c r="CS49" t="s">
        <v>156</v>
      </c>
      <c r="CT49" t="s">
        <v>157</v>
      </c>
      <c r="CU49" t="s">
        <v>158</v>
      </c>
      <c r="CV49" t="s">
        <v>159</v>
      </c>
      <c r="CW49" t="s">
        <v>160</v>
      </c>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row>
    <row r="50" spans="3:129" x14ac:dyDescent="0.25">
      <c r="D50">
        <f>MAX(D2:D46)</f>
        <v>56</v>
      </c>
      <c r="F50">
        <f>MAX(F2:F46)</f>
        <v>11</v>
      </c>
      <c r="G50">
        <f>MAX(G2:G46)</f>
        <v>13</v>
      </c>
      <c r="N50">
        <f>SUM(N1:N46)</f>
        <v>13</v>
      </c>
      <c r="O50">
        <f>SUM(O1:O46)</f>
        <v>68</v>
      </c>
      <c r="U50">
        <f t="shared" ref="U50:BZ50" si="26">SUM(U1:U46)</f>
        <v>13</v>
      </c>
      <c r="V50">
        <f t="shared" si="26"/>
        <v>70</v>
      </c>
      <c r="AB50">
        <f t="shared" si="26"/>
        <v>10</v>
      </c>
      <c r="AC50">
        <f t="shared" si="26"/>
        <v>58</v>
      </c>
      <c r="AI50">
        <f t="shared" si="26"/>
        <v>11</v>
      </c>
      <c r="AJ50">
        <f t="shared" si="26"/>
        <v>58</v>
      </c>
      <c r="AP50">
        <f t="shared" si="26"/>
        <v>14</v>
      </c>
      <c r="AQ50">
        <f t="shared" si="26"/>
        <v>67</v>
      </c>
      <c r="AW50">
        <f t="shared" si="26"/>
        <v>15</v>
      </c>
      <c r="AX50">
        <f t="shared" si="26"/>
        <v>68</v>
      </c>
      <c r="BD50">
        <f t="shared" si="26"/>
        <v>10</v>
      </c>
      <c r="BE50">
        <f t="shared" si="26"/>
        <v>63</v>
      </c>
      <c r="BK50">
        <f t="shared" si="26"/>
        <v>12</v>
      </c>
      <c r="BL50">
        <f t="shared" si="26"/>
        <v>65</v>
      </c>
      <c r="BR50">
        <f t="shared" si="26"/>
        <v>13</v>
      </c>
      <c r="BS50">
        <f t="shared" si="26"/>
        <v>66</v>
      </c>
      <c r="BY50">
        <f t="shared" si="26"/>
        <v>12</v>
      </c>
      <c r="BZ50">
        <f t="shared" si="26"/>
        <v>64</v>
      </c>
    </row>
    <row r="59" spans="3:129" x14ac:dyDescent="0.25">
      <c r="BN59" t="s">
        <v>119</v>
      </c>
      <c r="BO59" t="s">
        <v>120</v>
      </c>
    </row>
    <row r="60" spans="3:129" x14ac:dyDescent="0.25">
      <c r="BM60" s="17" t="s">
        <v>49</v>
      </c>
      <c r="BN60">
        <f>ROUND(AVERAGE(N2:N46,U2:U46), 2)</f>
        <v>0.28999999999999998</v>
      </c>
    </row>
    <row r="61" spans="3:129" x14ac:dyDescent="0.25">
      <c r="BM61" s="17" t="s">
        <v>60</v>
      </c>
      <c r="BN61">
        <f>ROUND(AVERAGE(AB2:AB46,AI2:AI46), 2)</f>
        <v>0.23</v>
      </c>
    </row>
    <row r="62" spans="3:129" x14ac:dyDescent="0.25">
      <c r="BM62" s="17" t="s">
        <v>50</v>
      </c>
    </row>
    <row r="63" spans="3:129" x14ac:dyDescent="0.25">
      <c r="BM63" s="17" t="s">
        <v>52</v>
      </c>
    </row>
    <row r="64" spans="3:129" x14ac:dyDescent="0.25">
      <c r="BM64" s="17" t="s">
        <v>51</v>
      </c>
    </row>
    <row r="65" spans="65:66" x14ac:dyDescent="0.25">
      <c r="BM65" s="17" t="s">
        <v>234</v>
      </c>
    </row>
    <row r="66" spans="65:66" x14ac:dyDescent="0.25">
      <c r="BM66" s="17" t="s">
        <v>235</v>
      </c>
    </row>
    <row r="67" spans="65:66" x14ac:dyDescent="0.25">
      <c r="BM67" s="17" t="s">
        <v>236</v>
      </c>
    </row>
    <row r="68" spans="65:66" x14ac:dyDescent="0.25">
      <c r="BM68" s="17" t="s">
        <v>237</v>
      </c>
    </row>
    <row r="69" spans="65:66" x14ac:dyDescent="0.25">
      <c r="BM69" s="17" t="s">
        <v>238</v>
      </c>
    </row>
    <row r="70" spans="65:66" x14ac:dyDescent="0.25">
      <c r="BM70" s="17" t="s">
        <v>232</v>
      </c>
      <c r="BN70">
        <f>ROUND(AVERAGE(U2:U46,AI2:AI46,AW2:AW46,BK2:BK46,BY2:BY46), 2)</f>
        <v>0.28000000000000003</v>
      </c>
    </row>
    <row r="71" spans="65:66" x14ac:dyDescent="0.25">
      <c r="BM71" s="17" t="s">
        <v>233</v>
      </c>
      <c r="BN71">
        <f>ROUND(AVERAGE(N2:N46,AB2:AB46,AP2:AP46,BD2:BD46,BR2:BR46), 2)</f>
        <v>0.27</v>
      </c>
    </row>
    <row r="72" spans="65:66" x14ac:dyDescent="0.25">
      <c r="BM72" s="17" t="s">
        <v>243</v>
      </c>
    </row>
    <row r="73" spans="65:66" x14ac:dyDescent="0.25">
      <c r="BM73" s="17" t="s">
        <v>244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U73"/>
  <sheetViews>
    <sheetView topLeftCell="Q16" workbookViewId="0">
      <selection activeCell="AM49" sqref="AM49"/>
    </sheetView>
  </sheetViews>
  <sheetFormatPr defaultRowHeight="15" x14ac:dyDescent="0.25"/>
  <cols>
    <col min="2" max="2" width="11.85546875" bestFit="1" customWidth="1"/>
    <col min="3" max="3" width="12.7109375" bestFit="1" customWidth="1"/>
    <col min="4" max="4" width="10" bestFit="1" customWidth="1"/>
    <col min="13" max="13" width="14.5703125" bestFit="1" customWidth="1"/>
    <col min="20" max="20" width="11.85546875" bestFit="1" customWidth="1"/>
    <col min="21" max="21" width="10.28515625" bestFit="1" customWidth="1"/>
    <col min="24" max="24" width="3.7109375" bestFit="1" customWidth="1"/>
    <col min="25" max="25" width="3.5703125" bestFit="1" customWidth="1"/>
    <col min="26" max="26" width="5" bestFit="1" customWidth="1"/>
    <col min="27" max="27" width="2.85546875" bestFit="1" customWidth="1"/>
    <col min="28" max="28" width="4" bestFit="1" customWidth="1"/>
    <col min="30" max="30" width="9" bestFit="1" customWidth="1"/>
    <col min="31" max="31" width="10.42578125" bestFit="1" customWidth="1"/>
    <col min="32" max="32" width="8.28515625" bestFit="1" customWidth="1"/>
    <col min="33" max="33" width="9.42578125" bestFit="1" customWidth="1"/>
    <col min="34" max="34" width="5" bestFit="1" customWidth="1"/>
    <col min="35" max="35" width="9" bestFit="1" customWidth="1"/>
    <col min="36" max="36" width="10.42578125" bestFit="1" customWidth="1"/>
    <col min="37" max="37" width="14.7109375" bestFit="1" customWidth="1"/>
  </cols>
  <sheetData>
    <row r="2" spans="2:10" ht="15.75" thickBot="1" x14ac:dyDescent="0.3">
      <c r="B2" s="19" t="s">
        <v>219</v>
      </c>
      <c r="C2" s="20" t="s">
        <v>119</v>
      </c>
      <c r="D2" s="21" t="s">
        <v>120</v>
      </c>
    </row>
    <row r="3" spans="2:10" x14ac:dyDescent="0.25">
      <c r="B3" s="17" t="s">
        <v>13</v>
      </c>
      <c r="C3" s="18">
        <v>27.622222222000001</v>
      </c>
      <c r="D3" s="4">
        <v>7.6374938999999999</v>
      </c>
      <c r="H3" s="143" t="s">
        <v>231</v>
      </c>
      <c r="I3" s="143"/>
      <c r="J3" s="143"/>
    </row>
    <row r="4" spans="2:10" x14ac:dyDescent="0.25">
      <c r="B4" s="17" t="s">
        <v>1</v>
      </c>
      <c r="C4" s="18">
        <v>9.6888888889999993</v>
      </c>
      <c r="D4" s="4">
        <v>1.5495193</v>
      </c>
      <c r="H4" s="24"/>
      <c r="I4" s="23" t="s">
        <v>119</v>
      </c>
      <c r="J4" s="23" t="s">
        <v>120</v>
      </c>
    </row>
    <row r="5" spans="2:10" x14ac:dyDescent="0.25">
      <c r="B5" s="17" t="s">
        <v>164</v>
      </c>
      <c r="C5" s="18">
        <v>10.977777778</v>
      </c>
      <c r="D5" s="4">
        <v>1.9480630000000001</v>
      </c>
      <c r="H5" s="17" t="s">
        <v>232</v>
      </c>
      <c r="I5" s="25">
        <v>0.60399999999999998</v>
      </c>
      <c r="J5" s="26">
        <v>0.64600000000000002</v>
      </c>
    </row>
    <row r="6" spans="2:10" x14ac:dyDescent="0.25">
      <c r="B6" s="17" t="s">
        <v>165</v>
      </c>
      <c r="C6" s="18">
        <v>0.28888888899999998</v>
      </c>
      <c r="D6" s="4">
        <v>0.45836779999999999</v>
      </c>
      <c r="H6" s="17" t="s">
        <v>233</v>
      </c>
      <c r="I6" s="27">
        <v>0.27800000000000002</v>
      </c>
      <c r="J6" s="28">
        <v>0.38900000000000001</v>
      </c>
    </row>
    <row r="7" spans="2:10" x14ac:dyDescent="0.25">
      <c r="B7" s="17" t="s">
        <v>166</v>
      </c>
      <c r="C7" s="18">
        <v>1.511111111</v>
      </c>
      <c r="D7" s="4">
        <v>1.0791879</v>
      </c>
    </row>
    <row r="8" spans="2:10" x14ac:dyDescent="0.25">
      <c r="B8" s="17" t="s">
        <v>167</v>
      </c>
      <c r="C8" s="18">
        <v>-0.13600648800000001</v>
      </c>
      <c r="D8" s="4">
        <v>0.55759550000000002</v>
      </c>
    </row>
    <row r="9" spans="2:10" x14ac:dyDescent="0.25">
      <c r="B9" s="17" t="s">
        <v>168</v>
      </c>
      <c r="C9" s="18">
        <v>3.0666666669999998</v>
      </c>
      <c r="D9" s="4">
        <v>1.0313275</v>
      </c>
    </row>
    <row r="10" spans="2:10" x14ac:dyDescent="0.25">
      <c r="B10" s="17" t="s">
        <v>169</v>
      </c>
      <c r="C10" s="18">
        <v>5.511111111</v>
      </c>
      <c r="D10" s="4">
        <v>2.9589788000000001</v>
      </c>
    </row>
    <row r="11" spans="2:10" x14ac:dyDescent="0.25">
      <c r="B11" s="17" t="s">
        <v>170</v>
      </c>
      <c r="C11" s="18">
        <v>0.28888888899999998</v>
      </c>
      <c r="D11" s="4">
        <v>0.45836779999999999</v>
      </c>
    </row>
    <row r="12" spans="2:10" x14ac:dyDescent="0.25">
      <c r="B12" s="17" t="s">
        <v>171</v>
      </c>
      <c r="C12" s="18">
        <v>1.5555555560000001</v>
      </c>
      <c r="D12" s="4">
        <v>1.0347497999999999</v>
      </c>
    </row>
    <row r="13" spans="2:10" x14ac:dyDescent="0.25">
      <c r="B13" s="17" t="s">
        <v>172</v>
      </c>
      <c r="C13" s="18">
        <v>-0.15685480199999999</v>
      </c>
      <c r="D13" s="4">
        <v>0.85681430000000003</v>
      </c>
    </row>
    <row r="14" spans="2:10" x14ac:dyDescent="0.25">
      <c r="B14" s="17" t="s">
        <v>173</v>
      </c>
      <c r="C14" s="18">
        <v>3.1333333329999999</v>
      </c>
      <c r="D14" s="4">
        <v>0.91948600000000003</v>
      </c>
    </row>
    <row r="15" spans="2:10" x14ac:dyDescent="0.25">
      <c r="B15" s="17" t="s">
        <v>174</v>
      </c>
      <c r="C15" s="18">
        <v>5.7777777779999999</v>
      </c>
      <c r="D15" s="4">
        <v>2.8595047999999998</v>
      </c>
    </row>
    <row r="16" spans="2:10" x14ac:dyDescent="0.25">
      <c r="B16" s="17" t="s">
        <v>175</v>
      </c>
      <c r="C16" s="18">
        <v>0.222222222</v>
      </c>
      <c r="D16" s="4">
        <v>0.42043750000000002</v>
      </c>
    </row>
    <row r="17" spans="2:47" x14ac:dyDescent="0.25">
      <c r="B17" s="17" t="s">
        <v>176</v>
      </c>
      <c r="C17" s="18">
        <v>1.2888888890000001</v>
      </c>
      <c r="D17" s="4">
        <v>1.0140427999999999</v>
      </c>
    </row>
    <row r="18" spans="2:47" x14ac:dyDescent="0.25">
      <c r="B18" s="17" t="s">
        <v>177</v>
      </c>
      <c r="C18" s="18">
        <v>-7.3903941000000001E-2</v>
      </c>
      <c r="D18" s="4">
        <v>0.41653420000000002</v>
      </c>
    </row>
    <row r="19" spans="2:47" x14ac:dyDescent="0.25">
      <c r="B19" s="17" t="s">
        <v>178</v>
      </c>
      <c r="C19" s="18">
        <v>3.0444444439999998</v>
      </c>
      <c r="D19" s="4">
        <v>0.92823279999999997</v>
      </c>
    </row>
    <row r="20" spans="2:47" x14ac:dyDescent="0.25">
      <c r="B20" s="17" t="s">
        <v>179</v>
      </c>
      <c r="C20" s="18">
        <v>5.266666667</v>
      </c>
      <c r="D20" s="4">
        <v>2.8236018000000001</v>
      </c>
    </row>
    <row r="21" spans="2:47" x14ac:dyDescent="0.25">
      <c r="B21" s="17" t="s">
        <v>180</v>
      </c>
      <c r="C21" s="18">
        <v>0.24444444400000001</v>
      </c>
      <c r="D21" s="4">
        <v>0.43461349999999999</v>
      </c>
    </row>
    <row r="22" spans="2:47" x14ac:dyDescent="0.25">
      <c r="B22" s="17" t="s">
        <v>181</v>
      </c>
      <c r="C22" s="18">
        <v>1.2888888890000001</v>
      </c>
      <c r="D22" s="4">
        <v>1.0579187000000001</v>
      </c>
    </row>
    <row r="23" spans="2:47" x14ac:dyDescent="0.25">
      <c r="B23" s="17" t="s">
        <v>182</v>
      </c>
      <c r="C23" s="18">
        <v>1.6608106000000001E-2</v>
      </c>
      <c r="D23" s="4">
        <v>0.89754590000000001</v>
      </c>
    </row>
    <row r="24" spans="2:47" x14ac:dyDescent="0.25">
      <c r="B24" s="17" t="s">
        <v>183</v>
      </c>
      <c r="C24" s="18">
        <v>2.9777777780000001</v>
      </c>
      <c r="D24" s="4">
        <v>1.0110501000000001</v>
      </c>
      <c r="N24" t="s">
        <v>119</v>
      </c>
      <c r="O24" t="s">
        <v>120</v>
      </c>
    </row>
    <row r="25" spans="2:47" x14ac:dyDescent="0.25">
      <c r="B25" s="17" t="s">
        <v>184</v>
      </c>
      <c r="C25" s="18">
        <v>5.266666667</v>
      </c>
      <c r="D25" s="4">
        <v>2.8714900000000001</v>
      </c>
      <c r="M25" t="s">
        <v>49</v>
      </c>
      <c r="N25">
        <f>ROUND(AVERAGE(C6,C11), 2)</f>
        <v>0.28999999999999998</v>
      </c>
      <c r="O25">
        <f>ROUND(AVERAGE(D6,D11), 2)</f>
        <v>0.46</v>
      </c>
    </row>
    <row r="26" spans="2:47" x14ac:dyDescent="0.25">
      <c r="B26" s="17" t="s">
        <v>185</v>
      </c>
      <c r="C26" s="18">
        <v>0.311111111</v>
      </c>
      <c r="D26" s="4">
        <v>0.46817940000000002</v>
      </c>
      <c r="M26" t="s">
        <v>60</v>
      </c>
      <c r="N26">
        <f>ROUND(AVERAGE(C16,C21), 2)</f>
        <v>0.23</v>
      </c>
      <c r="O26">
        <f>ROUND(AVERAGE(D16,D21), 2)</f>
        <v>0.43</v>
      </c>
    </row>
    <row r="27" spans="2:47" x14ac:dyDescent="0.25">
      <c r="B27" s="17" t="s">
        <v>186</v>
      </c>
      <c r="C27" s="18">
        <v>1.488888889</v>
      </c>
      <c r="D27" s="4">
        <v>1.0791879</v>
      </c>
      <c r="M27" t="s">
        <v>50</v>
      </c>
      <c r="N27">
        <f>ROUND(AVERAGE(C26,C31), 2)</f>
        <v>0.32</v>
      </c>
      <c r="O27">
        <f>ROUND(AVERAGE(D26,D31), 2)</f>
        <v>0.47</v>
      </c>
    </row>
    <row r="28" spans="2:47" x14ac:dyDescent="0.25">
      <c r="B28" s="17" t="s">
        <v>187</v>
      </c>
      <c r="C28" s="18">
        <v>2.4594971E-2</v>
      </c>
      <c r="D28" s="4">
        <v>0.57368359999999996</v>
      </c>
      <c r="M28" t="s">
        <v>52</v>
      </c>
      <c r="N28">
        <f>ROUND(AVERAGE(C36,C41), 2)</f>
        <v>0.24</v>
      </c>
      <c r="O28">
        <f>ROUND(AVERAGE(D36,D41), 2)</f>
        <v>0.43</v>
      </c>
      <c r="X28" t="s">
        <v>49</v>
      </c>
      <c r="Y28" t="s">
        <v>60</v>
      </c>
      <c r="Z28" t="s">
        <v>50</v>
      </c>
      <c r="AA28" t="s">
        <v>52</v>
      </c>
      <c r="AB28" t="s">
        <v>245</v>
      </c>
      <c r="AC28" t="s">
        <v>234</v>
      </c>
      <c r="AD28" t="s">
        <v>235</v>
      </c>
      <c r="AE28" t="s">
        <v>236</v>
      </c>
      <c r="AF28" t="s">
        <v>237</v>
      </c>
      <c r="AG28" t="s">
        <v>246</v>
      </c>
      <c r="AH28" t="s">
        <v>239</v>
      </c>
      <c r="AI28" t="s">
        <v>240</v>
      </c>
      <c r="AJ28" t="s">
        <v>241</v>
      </c>
      <c r="AK28" t="s">
        <v>242</v>
      </c>
      <c r="AL28" t="s">
        <v>248</v>
      </c>
      <c r="AM28" t="s">
        <v>249</v>
      </c>
      <c r="AN28" t="s">
        <v>250</v>
      </c>
      <c r="AO28" t="s">
        <v>251</v>
      </c>
      <c r="AP28" t="s">
        <v>252</v>
      </c>
      <c r="AQ28" t="s">
        <v>253</v>
      </c>
      <c r="AR28" t="s">
        <v>232</v>
      </c>
      <c r="AS28" t="s">
        <v>233</v>
      </c>
      <c r="AT28" t="s">
        <v>243</v>
      </c>
      <c r="AU28" t="s">
        <v>247</v>
      </c>
    </row>
    <row r="29" spans="2:47" x14ac:dyDescent="0.25">
      <c r="B29" s="17" t="s">
        <v>188</v>
      </c>
      <c r="C29" s="18">
        <v>3.4666666670000001</v>
      </c>
      <c r="D29" s="4">
        <v>0.72613550000000004</v>
      </c>
      <c r="M29" t="s">
        <v>51</v>
      </c>
      <c r="N29">
        <f>ROUND(AVERAGE(C46,C51), 2)</f>
        <v>0.28000000000000003</v>
      </c>
      <c r="O29">
        <f>ROUND(AVERAGE(D46,D51), 2)</f>
        <v>0.45</v>
      </c>
      <c r="X29" s="10">
        <v>0</v>
      </c>
      <c r="Y29" s="10">
        <v>0</v>
      </c>
      <c r="Z29" s="10">
        <v>0</v>
      </c>
      <c r="AA29" s="10">
        <v>0</v>
      </c>
      <c r="AB29" s="10">
        <v>0</v>
      </c>
      <c r="AC29" s="10">
        <v>1</v>
      </c>
      <c r="AD29" s="10">
        <v>0</v>
      </c>
      <c r="AE29" s="10">
        <v>1</v>
      </c>
      <c r="AF29" s="10">
        <v>1</v>
      </c>
      <c r="AG29" s="10">
        <v>1</v>
      </c>
    </row>
    <row r="30" spans="2:47" x14ac:dyDescent="0.25">
      <c r="B30" s="17" t="s">
        <v>189</v>
      </c>
      <c r="C30" s="18">
        <v>5.733333333</v>
      </c>
      <c r="D30" s="4">
        <v>2.8714900000000001</v>
      </c>
      <c r="M30" t="s">
        <v>234</v>
      </c>
      <c r="N30">
        <f>ROUND(AVERAGE(C7,C12), 2)</f>
        <v>1.53</v>
      </c>
      <c r="O30">
        <f>ROUND(AVERAGE(D7,D12), 2)</f>
        <v>1.06</v>
      </c>
      <c r="X30" s="10">
        <v>0</v>
      </c>
      <c r="Y30" s="10">
        <v>0</v>
      </c>
      <c r="Z30" s="10">
        <v>0</v>
      </c>
      <c r="AA30" s="10">
        <v>0</v>
      </c>
      <c r="AB30" s="10">
        <v>0</v>
      </c>
      <c r="AC30" s="10">
        <v>1</v>
      </c>
      <c r="AD30" s="10">
        <v>1</v>
      </c>
      <c r="AE30" s="10">
        <v>1</v>
      </c>
      <c r="AF30" s="10">
        <v>1</v>
      </c>
      <c r="AG30" s="10">
        <v>1</v>
      </c>
    </row>
    <row r="31" spans="2:47" x14ac:dyDescent="0.25">
      <c r="B31" s="17" t="s">
        <v>190</v>
      </c>
      <c r="C31" s="18">
        <v>0.33333333300000001</v>
      </c>
      <c r="D31" s="4">
        <v>0.47673130000000002</v>
      </c>
      <c r="M31" t="s">
        <v>235</v>
      </c>
      <c r="N31">
        <f>ROUND(AVERAGE(C17,C22), 2)</f>
        <v>1.29</v>
      </c>
      <c r="O31">
        <f>ROUND(AVERAGE(D17,D22), 2)</f>
        <v>1.04</v>
      </c>
      <c r="X31" s="10">
        <v>1</v>
      </c>
      <c r="Y31" s="10">
        <v>1</v>
      </c>
      <c r="Z31" s="10">
        <v>1</v>
      </c>
      <c r="AA31" s="10">
        <v>1</v>
      </c>
      <c r="AB31" s="10">
        <v>1</v>
      </c>
      <c r="AC31" s="10">
        <v>3</v>
      </c>
      <c r="AD31" s="10">
        <v>3</v>
      </c>
      <c r="AE31" s="10">
        <v>3</v>
      </c>
      <c r="AF31" s="10">
        <v>3</v>
      </c>
      <c r="AG31" s="10">
        <v>3</v>
      </c>
    </row>
    <row r="32" spans="2:47" x14ac:dyDescent="0.25">
      <c r="B32" s="17" t="s">
        <v>191</v>
      </c>
      <c r="C32" s="18">
        <v>1.511111111</v>
      </c>
      <c r="D32" s="4">
        <v>1.1205158</v>
      </c>
      <c r="M32" t="s">
        <v>236</v>
      </c>
      <c r="N32">
        <f>ROUND(AVERAGE(C27,C32), 2)</f>
        <v>1.5</v>
      </c>
      <c r="O32">
        <f>ROUND(AVERAGE(D27,D32), 2)</f>
        <v>1.1000000000000001</v>
      </c>
      <c r="X32" s="10">
        <v>0</v>
      </c>
      <c r="Y32" s="10">
        <v>0</v>
      </c>
      <c r="Z32" s="10">
        <v>1</v>
      </c>
      <c r="AA32" s="10">
        <v>0</v>
      </c>
      <c r="AB32" s="10">
        <v>1</v>
      </c>
      <c r="AC32" s="10">
        <v>1</v>
      </c>
      <c r="AD32" s="10">
        <v>1</v>
      </c>
      <c r="AE32" s="10">
        <v>3</v>
      </c>
      <c r="AF32" s="10">
        <v>1</v>
      </c>
      <c r="AG32" s="10">
        <v>3</v>
      </c>
    </row>
    <row r="33" spans="2:33" x14ac:dyDescent="0.25">
      <c r="B33" s="17" t="s">
        <v>192</v>
      </c>
      <c r="C33" s="18">
        <v>4.0527264E-2</v>
      </c>
      <c r="D33" s="4">
        <v>0.9424574</v>
      </c>
      <c r="M33" t="s">
        <v>237</v>
      </c>
      <c r="N33">
        <f>ROUND(AVERAGE(C37,C42), 2)</f>
        <v>1.42</v>
      </c>
      <c r="O33">
        <f>ROUND(AVERAGE(D37,D42), 2)</f>
        <v>1.01</v>
      </c>
      <c r="X33" s="10">
        <v>0</v>
      </c>
      <c r="Y33" s="10">
        <v>0</v>
      </c>
      <c r="Z33" s="10">
        <v>1</v>
      </c>
      <c r="AA33" s="10">
        <v>1</v>
      </c>
      <c r="AB33" s="10">
        <v>0</v>
      </c>
      <c r="AC33" s="10">
        <v>1</v>
      </c>
      <c r="AD33" s="10">
        <v>1</v>
      </c>
      <c r="AE33" s="10">
        <v>3</v>
      </c>
      <c r="AF33" s="10">
        <v>3</v>
      </c>
      <c r="AG33" s="10">
        <v>1</v>
      </c>
    </row>
    <row r="34" spans="2:33" x14ac:dyDescent="0.25">
      <c r="B34" s="17" t="s">
        <v>193</v>
      </c>
      <c r="C34" s="18">
        <v>3.266666667</v>
      </c>
      <c r="D34" s="4">
        <v>0.86339710000000003</v>
      </c>
      <c r="M34" t="s">
        <v>238</v>
      </c>
      <c r="N34">
        <f>ROUND(AVERAGE(C47,C52), 2)</f>
        <v>1.44</v>
      </c>
      <c r="O34">
        <f>ROUND(AVERAGE(D47,D52), 2)</f>
        <v>1.06</v>
      </c>
      <c r="X34" s="10">
        <v>1</v>
      </c>
      <c r="Y34" s="10">
        <v>1</v>
      </c>
      <c r="Z34" s="10">
        <v>0</v>
      </c>
      <c r="AA34" s="10">
        <v>0</v>
      </c>
      <c r="AB34" s="10">
        <v>0</v>
      </c>
      <c r="AC34" s="10">
        <v>3</v>
      </c>
      <c r="AD34" s="10">
        <v>3</v>
      </c>
      <c r="AE34" s="10">
        <v>1</v>
      </c>
      <c r="AF34" s="10">
        <v>0</v>
      </c>
      <c r="AG34" s="10">
        <v>1</v>
      </c>
    </row>
    <row r="35" spans="2:33" x14ac:dyDescent="0.25">
      <c r="B35" s="17" t="s">
        <v>194</v>
      </c>
      <c r="C35" s="18">
        <v>5.7777777779999999</v>
      </c>
      <c r="D35" s="4">
        <v>2.8911218999999999</v>
      </c>
      <c r="M35" t="s">
        <v>232</v>
      </c>
      <c r="T35" s="17"/>
      <c r="U35" s="17"/>
      <c r="X35" s="10">
        <v>0</v>
      </c>
      <c r="Y35" s="10">
        <v>0</v>
      </c>
      <c r="Z35" s="10">
        <v>0</v>
      </c>
      <c r="AA35" s="10">
        <v>0</v>
      </c>
      <c r="AB35" s="10">
        <v>0</v>
      </c>
      <c r="AC35" s="10">
        <v>1</v>
      </c>
      <c r="AD35" s="10">
        <v>1</v>
      </c>
      <c r="AE35" s="10">
        <v>1</v>
      </c>
      <c r="AF35" s="10">
        <v>1</v>
      </c>
      <c r="AG35" s="10">
        <v>1</v>
      </c>
    </row>
    <row r="36" spans="2:33" x14ac:dyDescent="0.25">
      <c r="B36" s="17" t="s">
        <v>195</v>
      </c>
      <c r="C36" s="18">
        <v>0.222222222</v>
      </c>
      <c r="D36" s="4">
        <v>0.42043750000000002</v>
      </c>
      <c r="M36" t="s">
        <v>233</v>
      </c>
      <c r="T36" s="18"/>
      <c r="U36" s="18"/>
      <c r="X36" s="10">
        <v>1</v>
      </c>
      <c r="Y36" s="10">
        <v>1</v>
      </c>
      <c r="Z36" s="10">
        <v>1</v>
      </c>
      <c r="AA36" s="10">
        <v>1</v>
      </c>
      <c r="AB36" s="10">
        <v>1</v>
      </c>
      <c r="AC36" s="10">
        <v>3</v>
      </c>
      <c r="AD36" s="10">
        <v>3</v>
      </c>
      <c r="AE36" s="10">
        <v>3</v>
      </c>
      <c r="AF36" s="10">
        <v>3</v>
      </c>
      <c r="AG36" s="10">
        <v>3</v>
      </c>
    </row>
    <row r="37" spans="2:33" x14ac:dyDescent="0.25">
      <c r="B37" s="17" t="s">
        <v>196</v>
      </c>
      <c r="C37" s="18">
        <v>1.4</v>
      </c>
      <c r="D37" s="4">
        <v>1.0313275</v>
      </c>
      <c r="M37" t="s">
        <v>243</v>
      </c>
      <c r="T37" s="4"/>
      <c r="U37" s="4"/>
      <c r="X37" s="10">
        <v>1</v>
      </c>
      <c r="Y37" s="10">
        <v>1</v>
      </c>
      <c r="Z37" s="10">
        <v>1</v>
      </c>
      <c r="AA37" s="10">
        <v>1</v>
      </c>
      <c r="AB37" s="10">
        <v>1</v>
      </c>
      <c r="AC37" s="10">
        <v>3</v>
      </c>
      <c r="AD37" s="10">
        <v>3</v>
      </c>
      <c r="AE37" s="10">
        <v>3</v>
      </c>
      <c r="AF37" s="10">
        <v>3</v>
      </c>
      <c r="AG37" s="10">
        <v>3</v>
      </c>
    </row>
    <row r="38" spans="2:33" x14ac:dyDescent="0.25">
      <c r="B38" s="17" t="s">
        <v>197</v>
      </c>
      <c r="C38" s="18">
        <v>-0.10726659700000001</v>
      </c>
      <c r="D38" s="4">
        <v>0.41883199999999998</v>
      </c>
      <c r="M38" t="s">
        <v>244</v>
      </c>
      <c r="X38" s="10">
        <v>1</v>
      </c>
      <c r="Y38" s="10">
        <v>1</v>
      </c>
      <c r="Z38" s="10">
        <v>0</v>
      </c>
      <c r="AA38" s="10">
        <v>1</v>
      </c>
      <c r="AB38" s="10">
        <v>1</v>
      </c>
      <c r="AC38" s="10">
        <v>3</v>
      </c>
      <c r="AD38" s="10">
        <v>3</v>
      </c>
      <c r="AE38" s="10">
        <v>1</v>
      </c>
      <c r="AF38" s="10">
        <v>3</v>
      </c>
      <c r="AG38" s="10">
        <v>3</v>
      </c>
    </row>
    <row r="39" spans="2:33" x14ac:dyDescent="0.25">
      <c r="B39" s="17" t="s">
        <v>198</v>
      </c>
      <c r="C39" s="18">
        <v>3.0666666669999998</v>
      </c>
      <c r="D39" s="4">
        <v>0.88933070000000003</v>
      </c>
      <c r="M39" s="17" t="s">
        <v>56</v>
      </c>
      <c r="N39" s="18">
        <f>ROUND(2.733333333, 2)</f>
        <v>2.73</v>
      </c>
      <c r="O39" s="4">
        <f>ROUND(3.8694609, 2)</f>
        <v>3.87</v>
      </c>
      <c r="X39" s="10">
        <v>0</v>
      </c>
      <c r="Y39" s="10">
        <v>0</v>
      </c>
      <c r="Z39" s="10">
        <v>0</v>
      </c>
      <c r="AA39" s="10">
        <v>0</v>
      </c>
      <c r="AB39" s="10">
        <v>0</v>
      </c>
      <c r="AC39" s="10">
        <v>3</v>
      </c>
      <c r="AD39" s="10">
        <v>1</v>
      </c>
      <c r="AE39" s="10">
        <v>1</v>
      </c>
      <c r="AF39" s="10">
        <v>1</v>
      </c>
      <c r="AG39" s="10">
        <v>1</v>
      </c>
    </row>
    <row r="40" spans="2:33" x14ac:dyDescent="0.25">
      <c r="B40" s="17" t="s">
        <v>199</v>
      </c>
      <c r="C40" s="18">
        <v>5.2222222220000001</v>
      </c>
      <c r="D40" s="4">
        <v>2.8911218999999999</v>
      </c>
      <c r="M40" s="17" t="s">
        <v>55</v>
      </c>
      <c r="N40" s="18">
        <f>ROUND(14.377777778, 2)</f>
        <v>14.38</v>
      </c>
      <c r="O40" s="4">
        <f>ROUND(9.0736604, 2)</f>
        <v>9.07</v>
      </c>
      <c r="X40" s="10">
        <v>0</v>
      </c>
      <c r="Y40" s="10">
        <v>0</v>
      </c>
      <c r="Z40" s="10">
        <v>0</v>
      </c>
      <c r="AA40" s="10">
        <v>0</v>
      </c>
      <c r="AB40" s="10">
        <v>0</v>
      </c>
      <c r="AC40" s="10">
        <v>1</v>
      </c>
      <c r="AD40" s="10">
        <v>1</v>
      </c>
      <c r="AE40" s="10">
        <v>1</v>
      </c>
      <c r="AF40" s="10">
        <v>1</v>
      </c>
      <c r="AG40" s="10">
        <v>1</v>
      </c>
    </row>
    <row r="41" spans="2:33" x14ac:dyDescent="0.25">
      <c r="B41" s="17" t="s">
        <v>200</v>
      </c>
      <c r="C41" s="18">
        <v>0.26666666700000002</v>
      </c>
      <c r="D41" s="4">
        <v>0.44721359999999999</v>
      </c>
      <c r="X41" s="10">
        <v>0</v>
      </c>
      <c r="Y41" s="10">
        <v>0</v>
      </c>
      <c r="Z41" s="10">
        <v>0</v>
      </c>
      <c r="AA41" s="10">
        <v>0</v>
      </c>
      <c r="AB41" s="10">
        <v>0</v>
      </c>
      <c r="AC41" s="10">
        <v>0</v>
      </c>
      <c r="AD41" s="10">
        <v>0</v>
      </c>
      <c r="AE41" s="10">
        <v>0</v>
      </c>
      <c r="AF41" s="10">
        <v>0</v>
      </c>
      <c r="AG41" s="10">
        <v>0</v>
      </c>
    </row>
    <row r="42" spans="2:33" x14ac:dyDescent="0.25">
      <c r="B42" s="17" t="s">
        <v>201</v>
      </c>
      <c r="C42" s="18">
        <v>1.4444444439999999</v>
      </c>
      <c r="D42" s="4">
        <v>0.98984749999999999</v>
      </c>
      <c r="X42" s="10">
        <v>1</v>
      </c>
      <c r="Y42" s="10">
        <v>1</v>
      </c>
      <c r="Z42" s="10">
        <v>1</v>
      </c>
      <c r="AA42" s="10">
        <v>1</v>
      </c>
      <c r="AB42" s="10">
        <v>1</v>
      </c>
      <c r="AC42" s="10">
        <v>3</v>
      </c>
      <c r="AD42" s="10">
        <v>3</v>
      </c>
      <c r="AE42" s="10">
        <v>3</v>
      </c>
      <c r="AF42" s="10">
        <v>3</v>
      </c>
      <c r="AG42" s="10">
        <v>3</v>
      </c>
    </row>
    <row r="43" spans="2:33" x14ac:dyDescent="0.25">
      <c r="B43" s="17" t="s">
        <v>202</v>
      </c>
      <c r="C43" s="18">
        <v>-0.162439373</v>
      </c>
      <c r="D43" s="4">
        <v>0.98221320000000001</v>
      </c>
      <c r="X43" s="10">
        <v>1</v>
      </c>
      <c r="Y43" s="10">
        <v>1</v>
      </c>
      <c r="Z43" s="10">
        <v>1</v>
      </c>
      <c r="AA43" s="10">
        <v>0</v>
      </c>
      <c r="AB43" s="10">
        <v>1</v>
      </c>
      <c r="AC43" s="10">
        <v>3</v>
      </c>
      <c r="AD43" s="10">
        <v>3</v>
      </c>
      <c r="AE43" s="10">
        <v>3</v>
      </c>
      <c r="AF43" s="10">
        <v>3</v>
      </c>
      <c r="AG43" s="10">
        <v>3</v>
      </c>
    </row>
    <row r="44" spans="2:33" x14ac:dyDescent="0.25">
      <c r="B44" s="17" t="s">
        <v>203</v>
      </c>
      <c r="C44" s="18">
        <v>3.0444444439999998</v>
      </c>
      <c r="D44" s="4">
        <v>0.97597400000000001</v>
      </c>
      <c r="X44" s="10">
        <v>0</v>
      </c>
      <c r="Y44" s="10">
        <v>0</v>
      </c>
      <c r="Z44" s="10">
        <v>0</v>
      </c>
      <c r="AA44" s="10">
        <v>0</v>
      </c>
      <c r="AB44" s="10">
        <v>0</v>
      </c>
      <c r="AC44" s="10">
        <v>1</v>
      </c>
      <c r="AD44" s="10">
        <v>1</v>
      </c>
      <c r="AE44" s="10">
        <v>1</v>
      </c>
      <c r="AF44" s="10">
        <v>1</v>
      </c>
      <c r="AG44" s="10">
        <v>1</v>
      </c>
    </row>
    <row r="45" spans="2:33" x14ac:dyDescent="0.25">
      <c r="B45" s="17" t="s">
        <v>204</v>
      </c>
      <c r="C45" s="18">
        <v>5.244444444</v>
      </c>
      <c r="D45" s="4">
        <v>2.8932174000000002</v>
      </c>
      <c r="X45" s="10">
        <v>0</v>
      </c>
      <c r="Y45" s="10">
        <v>0</v>
      </c>
      <c r="Z45" s="10">
        <v>0</v>
      </c>
      <c r="AA45" s="10">
        <v>0</v>
      </c>
      <c r="AB45" s="10">
        <v>0</v>
      </c>
      <c r="AC45" s="10">
        <v>0</v>
      </c>
      <c r="AD45" s="10">
        <v>0</v>
      </c>
      <c r="AE45" s="10">
        <v>0</v>
      </c>
      <c r="AF45" s="10">
        <v>0</v>
      </c>
      <c r="AG45" s="10">
        <v>0</v>
      </c>
    </row>
    <row r="46" spans="2:33" x14ac:dyDescent="0.25">
      <c r="B46" s="17" t="s">
        <v>205</v>
      </c>
      <c r="C46" s="18">
        <v>0.28888888899999998</v>
      </c>
      <c r="D46" s="4">
        <v>0.45836779999999999</v>
      </c>
      <c r="X46" s="10">
        <v>0</v>
      </c>
      <c r="Y46" s="10">
        <v>0</v>
      </c>
      <c r="Z46" s="10">
        <v>0</v>
      </c>
      <c r="AA46" s="10">
        <v>0</v>
      </c>
      <c r="AB46" s="10">
        <v>0</v>
      </c>
      <c r="AC46" s="10">
        <v>1</v>
      </c>
      <c r="AD46" s="10">
        <v>1</v>
      </c>
      <c r="AE46" s="10">
        <v>1</v>
      </c>
      <c r="AF46" s="10">
        <v>1</v>
      </c>
      <c r="AG46" s="10">
        <v>1</v>
      </c>
    </row>
    <row r="47" spans="2:33" x14ac:dyDescent="0.25">
      <c r="B47" s="17" t="s">
        <v>206</v>
      </c>
      <c r="C47" s="18">
        <v>1.4666666669999999</v>
      </c>
      <c r="D47" s="4">
        <v>1.0574412</v>
      </c>
      <c r="X47" s="10">
        <v>0</v>
      </c>
      <c r="Y47" s="10">
        <v>0</v>
      </c>
      <c r="Z47" s="10">
        <v>0</v>
      </c>
      <c r="AA47" s="10">
        <v>0</v>
      </c>
      <c r="AB47" s="10">
        <v>0</v>
      </c>
      <c r="AC47" s="10">
        <v>1</v>
      </c>
      <c r="AD47" s="10">
        <v>0</v>
      </c>
      <c r="AE47" s="10">
        <v>1</v>
      </c>
      <c r="AF47" s="10">
        <v>1</v>
      </c>
      <c r="AG47" s="10">
        <v>1</v>
      </c>
    </row>
    <row r="48" spans="2:33" x14ac:dyDescent="0.25">
      <c r="B48" s="17" t="s">
        <v>207</v>
      </c>
      <c r="C48" s="18">
        <v>4.8027549999999997E-3</v>
      </c>
      <c r="D48" s="4">
        <v>0.36615160000000002</v>
      </c>
      <c r="X48" s="10">
        <v>1</v>
      </c>
      <c r="Y48" s="10">
        <v>1</v>
      </c>
      <c r="Z48" s="10">
        <v>1</v>
      </c>
      <c r="AA48" s="10">
        <v>1</v>
      </c>
      <c r="AB48" s="10">
        <v>1</v>
      </c>
      <c r="AC48" s="10">
        <v>3</v>
      </c>
      <c r="AD48" s="10">
        <v>3</v>
      </c>
      <c r="AE48" s="10">
        <v>3</v>
      </c>
      <c r="AF48" s="10">
        <v>3</v>
      </c>
      <c r="AG48" s="10">
        <v>3</v>
      </c>
    </row>
    <row r="49" spans="2:33" x14ac:dyDescent="0.25">
      <c r="B49" s="17" t="s">
        <v>208</v>
      </c>
      <c r="C49" s="18">
        <v>2.9111111109999999</v>
      </c>
      <c r="D49" s="4">
        <v>0.70136949999999998</v>
      </c>
      <c r="X49" s="10">
        <v>1</v>
      </c>
      <c r="Y49" s="10">
        <v>0</v>
      </c>
      <c r="Z49" s="10">
        <v>1</v>
      </c>
      <c r="AA49" s="10">
        <v>0</v>
      </c>
      <c r="AB49" s="10">
        <v>1</v>
      </c>
      <c r="AC49" s="10">
        <v>3</v>
      </c>
      <c r="AD49" s="10">
        <v>1</v>
      </c>
      <c r="AE49" s="10">
        <v>3</v>
      </c>
      <c r="AF49" s="10">
        <v>0</v>
      </c>
      <c r="AG49" s="10">
        <v>3</v>
      </c>
    </row>
    <row r="50" spans="2:33" x14ac:dyDescent="0.25">
      <c r="B50" s="17" t="s">
        <v>154</v>
      </c>
      <c r="C50" s="18">
        <v>5.755555556</v>
      </c>
      <c r="D50" s="4">
        <v>2.8932174000000002</v>
      </c>
      <c r="X50" s="10">
        <v>0</v>
      </c>
      <c r="Y50" s="10">
        <v>0</v>
      </c>
      <c r="Z50" s="10">
        <v>0</v>
      </c>
      <c r="AA50" s="10">
        <v>0</v>
      </c>
      <c r="AB50" s="10">
        <v>0</v>
      </c>
      <c r="AC50" s="10">
        <v>0</v>
      </c>
      <c r="AD50" s="10">
        <v>0</v>
      </c>
      <c r="AE50" s="10">
        <v>1</v>
      </c>
      <c r="AF50" s="10">
        <v>1</v>
      </c>
      <c r="AG50" s="10">
        <v>0</v>
      </c>
    </row>
    <row r="51" spans="2:33" x14ac:dyDescent="0.25">
      <c r="B51" s="17" t="s">
        <v>209</v>
      </c>
      <c r="C51" s="18">
        <v>0.26666666700000002</v>
      </c>
      <c r="D51" s="4">
        <v>0.44721359999999999</v>
      </c>
      <c r="X51" s="10">
        <v>0</v>
      </c>
      <c r="Y51" s="10">
        <v>0</v>
      </c>
      <c r="Z51" s="10">
        <v>0</v>
      </c>
      <c r="AA51" s="10">
        <v>0</v>
      </c>
      <c r="AB51" s="10">
        <v>0</v>
      </c>
      <c r="AC51" s="10">
        <v>0</v>
      </c>
      <c r="AD51" s="10">
        <v>1</v>
      </c>
      <c r="AE51" s="10">
        <v>0</v>
      </c>
      <c r="AF51" s="10">
        <v>2</v>
      </c>
      <c r="AG51" s="10">
        <v>0</v>
      </c>
    </row>
    <row r="52" spans="2:33" x14ac:dyDescent="0.25">
      <c r="B52" s="17" t="s">
        <v>210</v>
      </c>
      <c r="C52" s="18">
        <v>1.422222222</v>
      </c>
      <c r="D52" s="4">
        <v>1.0550504000000001</v>
      </c>
      <c r="X52" s="10">
        <v>0</v>
      </c>
      <c r="Y52" s="10">
        <v>0</v>
      </c>
      <c r="Z52" s="10">
        <v>0</v>
      </c>
      <c r="AA52" s="10">
        <v>0</v>
      </c>
      <c r="AB52" s="10">
        <v>0</v>
      </c>
      <c r="AC52" s="10">
        <v>1</v>
      </c>
      <c r="AD52" s="10">
        <v>1</v>
      </c>
      <c r="AE52" s="10">
        <v>1</v>
      </c>
      <c r="AF52" s="10">
        <v>1</v>
      </c>
      <c r="AG52" s="10">
        <v>1</v>
      </c>
    </row>
    <row r="53" spans="2:33" x14ac:dyDescent="0.25">
      <c r="B53" s="17" t="s">
        <v>211</v>
      </c>
      <c r="C53" s="18">
        <v>1.7029362999999999E-2</v>
      </c>
      <c r="D53" s="4">
        <v>0.73906819999999995</v>
      </c>
      <c r="X53" s="10">
        <v>0</v>
      </c>
      <c r="Y53" s="10">
        <v>0</v>
      </c>
      <c r="Z53" s="10">
        <v>0</v>
      </c>
      <c r="AA53" s="10">
        <v>0</v>
      </c>
      <c r="AB53" s="10">
        <v>0</v>
      </c>
      <c r="AC53" s="10">
        <v>1</v>
      </c>
      <c r="AD53" s="10">
        <v>1</v>
      </c>
      <c r="AE53" s="10">
        <v>1</v>
      </c>
      <c r="AF53" s="10">
        <v>1</v>
      </c>
      <c r="AG53" s="10">
        <v>1</v>
      </c>
    </row>
    <row r="54" spans="2:33" x14ac:dyDescent="0.25">
      <c r="B54" s="17" t="s">
        <v>212</v>
      </c>
      <c r="C54" s="18">
        <v>3</v>
      </c>
      <c r="D54" s="4">
        <v>0.92932040000000005</v>
      </c>
      <c r="X54" s="10">
        <v>0</v>
      </c>
      <c r="Y54" s="10">
        <v>0</v>
      </c>
      <c r="Z54" s="10">
        <v>0</v>
      </c>
      <c r="AA54" s="10">
        <v>0</v>
      </c>
      <c r="AB54" s="10">
        <v>0</v>
      </c>
      <c r="AC54" s="10">
        <v>2</v>
      </c>
      <c r="AD54" s="10">
        <v>2</v>
      </c>
      <c r="AE54" s="10">
        <v>1</v>
      </c>
      <c r="AF54" s="10">
        <v>1</v>
      </c>
      <c r="AG54" s="10">
        <v>1</v>
      </c>
    </row>
    <row r="55" spans="2:33" x14ac:dyDescent="0.25">
      <c r="B55" s="17" t="s">
        <v>213</v>
      </c>
      <c r="C55" s="18">
        <v>5.488888889</v>
      </c>
      <c r="D55" s="4">
        <v>2.9589788000000001</v>
      </c>
      <c r="X55" s="10">
        <v>0</v>
      </c>
      <c r="Y55" s="10">
        <v>0</v>
      </c>
      <c r="Z55" s="10">
        <v>0</v>
      </c>
      <c r="AA55" s="10">
        <v>0</v>
      </c>
      <c r="AB55" s="10">
        <v>0</v>
      </c>
      <c r="AC55" s="10">
        <v>1</v>
      </c>
      <c r="AD55" s="10">
        <v>0</v>
      </c>
      <c r="AE55" s="10">
        <v>1</v>
      </c>
      <c r="AF55" s="10">
        <v>1</v>
      </c>
      <c r="AG55" s="10">
        <v>1</v>
      </c>
    </row>
    <row r="56" spans="2:33" x14ac:dyDescent="0.25">
      <c r="B56" s="17" t="s">
        <v>56</v>
      </c>
      <c r="C56" s="18">
        <v>2.733333333</v>
      </c>
      <c r="D56" s="4">
        <v>3.8694609</v>
      </c>
      <c r="X56" s="10">
        <v>0</v>
      </c>
      <c r="Y56" s="10">
        <v>0</v>
      </c>
      <c r="Z56" s="10">
        <v>0</v>
      </c>
      <c r="AA56" s="10">
        <v>0</v>
      </c>
      <c r="AB56" s="10">
        <v>0</v>
      </c>
      <c r="AC56" s="10">
        <v>1</v>
      </c>
      <c r="AD56" s="10">
        <v>0</v>
      </c>
      <c r="AE56" s="10">
        <v>1</v>
      </c>
      <c r="AF56" s="10">
        <v>1</v>
      </c>
      <c r="AG56" s="10">
        <v>1</v>
      </c>
    </row>
    <row r="57" spans="2:33" x14ac:dyDescent="0.25">
      <c r="B57" s="17" t="s">
        <v>55</v>
      </c>
      <c r="C57" s="18">
        <v>14.377777778</v>
      </c>
      <c r="D57" s="4">
        <v>9.0736603999999996</v>
      </c>
      <c r="X57" s="10">
        <v>0</v>
      </c>
      <c r="Y57" s="10">
        <v>0</v>
      </c>
      <c r="Z57" s="10">
        <v>0</v>
      </c>
      <c r="AA57" s="10">
        <v>0</v>
      </c>
      <c r="AB57" s="10">
        <v>0</v>
      </c>
      <c r="AC57" s="10">
        <v>1</v>
      </c>
      <c r="AD57" s="10">
        <v>1</v>
      </c>
      <c r="AE57" s="10">
        <v>1</v>
      </c>
      <c r="AF57" s="10">
        <v>1</v>
      </c>
      <c r="AG57" s="10">
        <v>1</v>
      </c>
    </row>
    <row r="58" spans="2:33" x14ac:dyDescent="0.25">
      <c r="B58" s="17" t="s">
        <v>214</v>
      </c>
      <c r="C58" s="18">
        <v>2.4222222219999998</v>
      </c>
      <c r="D58" s="4">
        <v>1.1178081</v>
      </c>
      <c r="X58" s="10">
        <v>0</v>
      </c>
      <c r="Y58" s="10">
        <v>0</v>
      </c>
      <c r="Z58" s="10">
        <v>0</v>
      </c>
      <c r="AA58" s="10">
        <v>0</v>
      </c>
      <c r="AB58" s="10">
        <v>0</v>
      </c>
      <c r="AC58" s="10">
        <v>1</v>
      </c>
      <c r="AD58" s="10">
        <v>1</v>
      </c>
      <c r="AE58" s="10">
        <v>0</v>
      </c>
      <c r="AF58" s="10">
        <v>0</v>
      </c>
      <c r="AG58" s="10">
        <v>0</v>
      </c>
    </row>
    <row r="59" spans="2:33" x14ac:dyDescent="0.25">
      <c r="B59" s="17" t="s">
        <v>215</v>
      </c>
      <c r="C59" s="18">
        <v>2.9333333330000002</v>
      </c>
      <c r="D59" s="4">
        <v>1.2504545</v>
      </c>
      <c r="X59" s="10">
        <v>0</v>
      </c>
      <c r="Y59" s="10">
        <v>0</v>
      </c>
      <c r="Z59" s="10">
        <v>0</v>
      </c>
      <c r="AA59" s="10">
        <v>0</v>
      </c>
      <c r="AB59" s="10">
        <v>0</v>
      </c>
      <c r="AC59" s="10">
        <v>1</v>
      </c>
      <c r="AD59" s="10">
        <v>1</v>
      </c>
      <c r="AE59" s="10">
        <v>1</v>
      </c>
      <c r="AF59" s="10">
        <v>1</v>
      </c>
      <c r="AG59" s="10">
        <v>1</v>
      </c>
    </row>
    <row r="60" spans="2:33" x14ac:dyDescent="0.25">
      <c r="B60" s="17" t="s">
        <v>216</v>
      </c>
      <c r="C60" s="18">
        <v>4.6444444440000003</v>
      </c>
      <c r="D60" s="4">
        <v>0.57030910000000001</v>
      </c>
      <c r="X60" s="10">
        <v>0</v>
      </c>
      <c r="Y60" s="10">
        <v>0</v>
      </c>
      <c r="Z60" s="10">
        <v>0</v>
      </c>
      <c r="AA60" s="10">
        <v>0</v>
      </c>
      <c r="AB60" s="10">
        <v>0</v>
      </c>
      <c r="AC60" s="10">
        <v>0</v>
      </c>
      <c r="AD60" s="10">
        <v>1</v>
      </c>
      <c r="AE60" s="10">
        <v>0</v>
      </c>
      <c r="AF60" s="10">
        <v>0</v>
      </c>
      <c r="AG60" s="10">
        <v>1</v>
      </c>
    </row>
    <row r="61" spans="2:33" x14ac:dyDescent="0.25">
      <c r="B61" s="17" t="s">
        <v>217</v>
      </c>
      <c r="C61" s="18">
        <v>3.5555555559999998</v>
      </c>
      <c r="D61" s="4">
        <v>0.98984749999999999</v>
      </c>
      <c r="X61" s="10">
        <v>0</v>
      </c>
      <c r="Y61" s="10">
        <v>0</v>
      </c>
      <c r="Z61" s="10">
        <v>0</v>
      </c>
      <c r="AA61" s="10">
        <v>0</v>
      </c>
      <c r="AB61" s="10">
        <v>0</v>
      </c>
      <c r="AC61" s="10">
        <v>1</v>
      </c>
      <c r="AD61" s="10">
        <v>1</v>
      </c>
      <c r="AE61" s="10">
        <v>1</v>
      </c>
      <c r="AF61" s="10">
        <v>2</v>
      </c>
      <c r="AG61" s="10">
        <v>2</v>
      </c>
    </row>
    <row r="62" spans="2:33" x14ac:dyDescent="0.25">
      <c r="B62" s="17" t="s">
        <v>218</v>
      </c>
      <c r="C62" s="18">
        <v>3.622222222</v>
      </c>
      <c r="D62" s="4">
        <v>1.1137343</v>
      </c>
      <c r="X62" s="10">
        <v>0</v>
      </c>
      <c r="Y62" s="10">
        <v>0</v>
      </c>
      <c r="Z62" s="10">
        <v>0</v>
      </c>
      <c r="AA62" s="10">
        <v>0</v>
      </c>
      <c r="AB62" s="10">
        <v>0</v>
      </c>
      <c r="AC62" s="10">
        <v>0</v>
      </c>
      <c r="AD62" s="10">
        <v>1</v>
      </c>
      <c r="AE62" s="10">
        <v>1</v>
      </c>
      <c r="AF62" s="10">
        <v>1</v>
      </c>
      <c r="AG62" s="10">
        <v>1</v>
      </c>
    </row>
    <row r="63" spans="2:33" x14ac:dyDescent="0.25">
      <c r="B63" s="17" t="s">
        <v>156</v>
      </c>
      <c r="C63" s="18">
        <v>-1.2</v>
      </c>
      <c r="D63" s="4">
        <v>1.1599372999999999</v>
      </c>
      <c r="X63" s="10">
        <v>0</v>
      </c>
      <c r="Y63" s="10">
        <v>0</v>
      </c>
      <c r="Z63" s="10">
        <v>0</v>
      </c>
      <c r="AA63" s="10">
        <v>0</v>
      </c>
      <c r="AB63" s="10">
        <v>0</v>
      </c>
      <c r="AC63" s="10">
        <v>1</v>
      </c>
      <c r="AD63" s="10">
        <v>1</v>
      </c>
      <c r="AE63" s="10">
        <v>1</v>
      </c>
      <c r="AF63" s="10">
        <v>1</v>
      </c>
      <c r="AG63" s="10">
        <v>1</v>
      </c>
    </row>
    <row r="64" spans="2:33" x14ac:dyDescent="0.25">
      <c r="B64" s="17" t="s">
        <v>157</v>
      </c>
      <c r="C64" s="18">
        <v>-0.66666666699999999</v>
      </c>
      <c r="D64" s="4">
        <v>1.0871146</v>
      </c>
      <c r="X64" s="10">
        <v>1</v>
      </c>
      <c r="Y64" s="10">
        <v>1</v>
      </c>
      <c r="Z64" s="10">
        <v>1</v>
      </c>
      <c r="AA64" s="10">
        <v>1</v>
      </c>
      <c r="AB64" s="10">
        <v>1</v>
      </c>
      <c r="AC64" s="10">
        <v>3</v>
      </c>
      <c r="AD64" s="10">
        <v>3</v>
      </c>
      <c r="AE64" s="10">
        <v>3</v>
      </c>
      <c r="AF64" s="10">
        <v>3</v>
      </c>
      <c r="AG64" s="10">
        <v>3</v>
      </c>
    </row>
    <row r="65" spans="2:33" x14ac:dyDescent="0.25">
      <c r="B65" s="17" t="s">
        <v>158</v>
      </c>
      <c r="C65" s="18">
        <v>1.7777777779999999</v>
      </c>
      <c r="D65" s="4">
        <v>0.59882040000000003</v>
      </c>
      <c r="X65" s="10">
        <v>0</v>
      </c>
      <c r="Y65" s="10">
        <v>0</v>
      </c>
      <c r="Z65" s="10">
        <v>0</v>
      </c>
      <c r="AA65" s="10">
        <v>0</v>
      </c>
      <c r="AB65" s="10">
        <v>0</v>
      </c>
      <c r="AC65" s="10">
        <v>1</v>
      </c>
      <c r="AD65" s="10">
        <v>0</v>
      </c>
      <c r="AE65" s="10">
        <v>1</v>
      </c>
      <c r="AF65" s="10">
        <v>1</v>
      </c>
      <c r="AG65" s="10">
        <v>1</v>
      </c>
    </row>
    <row r="66" spans="2:33" x14ac:dyDescent="0.25">
      <c r="B66" s="17" t="s">
        <v>159</v>
      </c>
      <c r="C66" s="18">
        <v>-0.222222222</v>
      </c>
      <c r="D66" s="4">
        <v>1.0420453999999999</v>
      </c>
      <c r="X66" s="10">
        <v>0</v>
      </c>
      <c r="Y66" s="10">
        <v>0</v>
      </c>
      <c r="Z66" s="10">
        <v>0</v>
      </c>
      <c r="AA66" s="10">
        <v>0</v>
      </c>
      <c r="AB66" s="10">
        <v>0</v>
      </c>
      <c r="AC66" s="10">
        <v>1</v>
      </c>
      <c r="AD66" s="10">
        <v>1</v>
      </c>
      <c r="AE66" s="10">
        <v>1</v>
      </c>
      <c r="AF66" s="10">
        <v>1</v>
      </c>
      <c r="AG66" s="10">
        <v>1</v>
      </c>
    </row>
    <row r="67" spans="2:33" x14ac:dyDescent="0.25">
      <c r="B67" s="17" t="s">
        <v>160</v>
      </c>
      <c r="C67" s="18">
        <v>0.311111111</v>
      </c>
      <c r="D67" s="4">
        <v>0.97286410000000001</v>
      </c>
      <c r="X67" s="10">
        <v>0</v>
      </c>
      <c r="Y67" s="10">
        <v>0</v>
      </c>
      <c r="Z67" s="10">
        <v>0</v>
      </c>
      <c r="AA67" s="10">
        <v>0</v>
      </c>
      <c r="AB67" s="10">
        <v>0</v>
      </c>
      <c r="AC67" s="10">
        <v>1</v>
      </c>
      <c r="AD67" s="10">
        <v>1</v>
      </c>
      <c r="AE67" s="10">
        <v>0</v>
      </c>
      <c r="AF67" s="10">
        <v>0</v>
      </c>
      <c r="AG67" s="10">
        <v>0</v>
      </c>
    </row>
    <row r="68" spans="2:33" x14ac:dyDescent="0.25">
      <c r="X68" s="10">
        <v>1</v>
      </c>
      <c r="Y68" s="10">
        <v>0</v>
      </c>
      <c r="Z68" s="10">
        <v>1</v>
      </c>
      <c r="AA68" s="10">
        <v>1</v>
      </c>
      <c r="AB68" s="10">
        <v>1</v>
      </c>
      <c r="AC68" s="10">
        <v>3</v>
      </c>
      <c r="AD68" s="10">
        <v>1</v>
      </c>
      <c r="AE68" s="10">
        <v>3</v>
      </c>
      <c r="AF68" s="10">
        <v>3</v>
      </c>
      <c r="AG68" s="10">
        <v>3</v>
      </c>
    </row>
    <row r="69" spans="2:33" x14ac:dyDescent="0.25">
      <c r="X69" s="10">
        <v>0</v>
      </c>
      <c r="Y69" s="10">
        <v>0</v>
      </c>
      <c r="Z69" s="10">
        <v>0</v>
      </c>
      <c r="AA69" s="10">
        <v>0</v>
      </c>
      <c r="AB69" s="10">
        <v>0</v>
      </c>
      <c r="AC69" s="10">
        <v>1</v>
      </c>
      <c r="AD69" s="10">
        <v>1</v>
      </c>
      <c r="AE69" s="10">
        <v>1</v>
      </c>
      <c r="AF69" s="10">
        <v>1</v>
      </c>
      <c r="AG69" s="10">
        <v>1</v>
      </c>
    </row>
    <row r="70" spans="2:33" x14ac:dyDescent="0.25">
      <c r="X70" s="10">
        <v>0</v>
      </c>
      <c r="Y70" s="10">
        <v>0</v>
      </c>
      <c r="Z70" s="10">
        <v>0</v>
      </c>
      <c r="AA70" s="10">
        <v>0</v>
      </c>
      <c r="AB70" s="10">
        <v>0</v>
      </c>
      <c r="AC70" s="10">
        <v>1</v>
      </c>
      <c r="AD70" s="10">
        <v>1</v>
      </c>
      <c r="AE70" s="10">
        <v>1</v>
      </c>
      <c r="AF70" s="10">
        <v>1</v>
      </c>
      <c r="AG70" s="10">
        <v>1</v>
      </c>
    </row>
    <row r="71" spans="2:33" x14ac:dyDescent="0.25">
      <c r="X71" s="10">
        <v>0</v>
      </c>
      <c r="Y71" s="10">
        <v>0</v>
      </c>
      <c r="Z71" s="10">
        <v>1</v>
      </c>
      <c r="AA71" s="10">
        <v>0</v>
      </c>
      <c r="AB71" s="10">
        <v>0</v>
      </c>
      <c r="AC71" s="10">
        <v>1</v>
      </c>
      <c r="AD71" s="10">
        <v>1</v>
      </c>
      <c r="AE71" s="10">
        <v>3</v>
      </c>
      <c r="AF71" s="10">
        <v>2</v>
      </c>
      <c r="AG71" s="10">
        <v>1</v>
      </c>
    </row>
    <row r="72" spans="2:33" x14ac:dyDescent="0.25">
      <c r="X72" s="10">
        <v>1</v>
      </c>
      <c r="Y72" s="10">
        <v>1</v>
      </c>
      <c r="Z72" s="10">
        <v>1</v>
      </c>
      <c r="AA72" s="10">
        <v>0</v>
      </c>
      <c r="AB72" s="10">
        <v>1</v>
      </c>
      <c r="AC72" s="10">
        <v>3</v>
      </c>
      <c r="AD72" s="10">
        <v>3</v>
      </c>
      <c r="AE72" s="10">
        <v>3</v>
      </c>
      <c r="AF72" s="10">
        <v>1</v>
      </c>
      <c r="AG72" s="10">
        <v>3</v>
      </c>
    </row>
    <row r="73" spans="2:33" x14ac:dyDescent="0.25">
      <c r="X73" s="10">
        <v>1</v>
      </c>
      <c r="Y73" s="10">
        <v>0</v>
      </c>
      <c r="Z73" s="10">
        <v>1</v>
      </c>
      <c r="AA73" s="10">
        <v>1</v>
      </c>
      <c r="AB73" s="10">
        <v>1</v>
      </c>
      <c r="AC73" s="10">
        <v>3</v>
      </c>
      <c r="AD73" s="10">
        <v>1</v>
      </c>
      <c r="AE73" s="10">
        <v>3</v>
      </c>
      <c r="AF73" s="10">
        <v>3</v>
      </c>
      <c r="AG73" s="10">
        <v>3</v>
      </c>
    </row>
  </sheetData>
  <mergeCells count="1">
    <mergeCell ref="H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2"/>
  <sheetViews>
    <sheetView topLeftCell="B25" workbookViewId="0">
      <selection activeCell="J452" sqref="J452"/>
    </sheetView>
  </sheetViews>
  <sheetFormatPr defaultRowHeight="15" x14ac:dyDescent="0.25"/>
  <cols>
    <col min="1" max="1" width="10.5703125" bestFit="1" customWidth="1"/>
    <col min="2" max="2" width="10" bestFit="1" customWidth="1"/>
    <col min="3" max="3" width="9.85546875" bestFit="1" customWidth="1"/>
    <col min="4" max="4" width="6.140625" bestFit="1" customWidth="1"/>
    <col min="5" max="5" width="3.28515625" bestFit="1" customWidth="1"/>
    <col min="6" max="6" width="7.28515625" bestFit="1" customWidth="1"/>
    <col min="7" max="7" width="8.7109375" bestFit="1" customWidth="1"/>
    <col min="8" max="8" width="5.85546875" bestFit="1" customWidth="1"/>
    <col min="9" max="9" width="12.7109375" bestFit="1" customWidth="1"/>
  </cols>
  <sheetData>
    <row r="1" spans="1:10" x14ac:dyDescent="0.25">
      <c r="A1" s="8" t="s">
        <v>0</v>
      </c>
      <c r="B1" s="5" t="s">
        <v>1</v>
      </c>
      <c r="C1" s="5" t="s">
        <v>17</v>
      </c>
      <c r="D1" s="5" t="s">
        <v>226</v>
      </c>
      <c r="E1" s="4" t="s">
        <v>221</v>
      </c>
      <c r="F1" s="4" t="s">
        <v>222</v>
      </c>
      <c r="G1" s="8" t="s">
        <v>223</v>
      </c>
      <c r="H1" s="8" t="s">
        <v>224</v>
      </c>
      <c r="I1" s="8" t="s">
        <v>225</v>
      </c>
      <c r="J1" t="s">
        <v>230</v>
      </c>
    </row>
    <row r="2" spans="1:10" x14ac:dyDescent="0.25">
      <c r="A2" s="8">
        <v>1</v>
      </c>
      <c r="B2" s="5">
        <v>11</v>
      </c>
      <c r="C2" s="5">
        <v>11</v>
      </c>
      <c r="D2" s="5">
        <v>8</v>
      </c>
      <c r="E2" s="4">
        <v>1</v>
      </c>
      <c r="F2" s="4" t="s">
        <v>49</v>
      </c>
      <c r="G2" s="8">
        <v>0</v>
      </c>
      <c r="H2" s="8">
        <v>1</v>
      </c>
      <c r="I2" s="8">
        <v>-0.12493873660830002</v>
      </c>
      <c r="J2" s="10">
        <v>3</v>
      </c>
    </row>
    <row r="3" spans="1:10" x14ac:dyDescent="0.25">
      <c r="A3" s="8">
        <v>2</v>
      </c>
      <c r="B3" s="5">
        <v>10</v>
      </c>
      <c r="C3" s="5">
        <v>13</v>
      </c>
      <c r="D3" s="5">
        <v>8</v>
      </c>
      <c r="E3" s="4">
        <v>1</v>
      </c>
      <c r="F3" s="4" t="s">
        <v>49</v>
      </c>
      <c r="G3" s="8">
        <v>0</v>
      </c>
      <c r="H3" s="8">
        <v>1</v>
      </c>
      <c r="I3" s="8">
        <v>-0.62680910116412081</v>
      </c>
      <c r="J3" s="10">
        <v>3</v>
      </c>
    </row>
    <row r="4" spans="1:10" x14ac:dyDescent="0.25">
      <c r="A4" s="8">
        <v>3</v>
      </c>
      <c r="B4" s="5">
        <v>10</v>
      </c>
      <c r="C4" s="5">
        <v>13</v>
      </c>
      <c r="D4" s="5">
        <v>6</v>
      </c>
      <c r="E4" s="4">
        <v>1</v>
      </c>
      <c r="F4" s="4" t="s">
        <v>49</v>
      </c>
      <c r="G4" s="8">
        <v>1</v>
      </c>
      <c r="H4" s="8">
        <v>3</v>
      </c>
      <c r="I4" s="8">
        <v>0</v>
      </c>
      <c r="J4" s="10">
        <v>4</v>
      </c>
    </row>
    <row r="5" spans="1:10" x14ac:dyDescent="0.25">
      <c r="A5" s="8">
        <v>4</v>
      </c>
      <c r="B5" s="5">
        <v>11</v>
      </c>
      <c r="C5" s="5">
        <v>13</v>
      </c>
      <c r="D5" s="5">
        <v>6</v>
      </c>
      <c r="E5" s="4">
        <v>1</v>
      </c>
      <c r="F5" s="4" t="s">
        <v>49</v>
      </c>
      <c r="G5" s="8">
        <v>0</v>
      </c>
      <c r="H5" s="8">
        <v>1</v>
      </c>
      <c r="I5" s="8">
        <v>-2.2342641243787895</v>
      </c>
      <c r="J5" s="10">
        <v>4</v>
      </c>
    </row>
    <row r="6" spans="1:10" x14ac:dyDescent="0.25">
      <c r="A6" s="8">
        <v>5</v>
      </c>
      <c r="B6" s="5">
        <v>6</v>
      </c>
      <c r="C6" s="5">
        <v>12</v>
      </c>
      <c r="D6" s="5">
        <v>4</v>
      </c>
      <c r="E6" s="4">
        <v>1</v>
      </c>
      <c r="F6" s="4" t="s">
        <v>49</v>
      </c>
      <c r="G6" s="8">
        <v>0</v>
      </c>
      <c r="H6" s="8">
        <v>1</v>
      </c>
      <c r="I6" s="8">
        <v>0.19420796215794436</v>
      </c>
      <c r="J6" s="10">
        <v>4</v>
      </c>
    </row>
    <row r="7" spans="1:10" x14ac:dyDescent="0.25">
      <c r="A7" s="8">
        <v>6</v>
      </c>
      <c r="B7" s="5">
        <v>10</v>
      </c>
      <c r="C7" s="5">
        <v>12</v>
      </c>
      <c r="D7" s="5">
        <v>4</v>
      </c>
      <c r="E7" s="4">
        <v>1</v>
      </c>
      <c r="F7" s="4" t="s">
        <v>49</v>
      </c>
      <c r="G7" s="8">
        <v>1</v>
      </c>
      <c r="H7" s="8">
        <v>3</v>
      </c>
      <c r="I7" s="8">
        <v>0</v>
      </c>
      <c r="J7" s="10">
        <v>3</v>
      </c>
    </row>
    <row r="8" spans="1:10" x14ac:dyDescent="0.25">
      <c r="A8" s="8">
        <v>7</v>
      </c>
      <c r="B8" s="5">
        <v>11</v>
      </c>
      <c r="C8" s="5">
        <v>11</v>
      </c>
      <c r="D8" s="5">
        <v>1</v>
      </c>
      <c r="E8" s="4">
        <v>1</v>
      </c>
      <c r="F8" s="4" t="s">
        <v>49</v>
      </c>
      <c r="G8" s="8">
        <v>0</v>
      </c>
      <c r="H8" s="8">
        <v>1</v>
      </c>
      <c r="I8" s="8">
        <v>-0.12493873660830002</v>
      </c>
      <c r="J8" s="10">
        <v>3</v>
      </c>
    </row>
    <row r="9" spans="1:10" x14ac:dyDescent="0.25">
      <c r="A9" s="8">
        <v>8</v>
      </c>
      <c r="B9" s="5">
        <v>11</v>
      </c>
      <c r="C9" s="5">
        <v>11</v>
      </c>
      <c r="D9" s="5">
        <v>2</v>
      </c>
      <c r="E9" s="4">
        <v>1</v>
      </c>
      <c r="F9" s="4" t="s">
        <v>49</v>
      </c>
      <c r="G9" s="8">
        <v>1</v>
      </c>
      <c r="H9" s="8">
        <v>3</v>
      </c>
      <c r="I9" s="8">
        <v>0</v>
      </c>
      <c r="J9" s="10">
        <v>4</v>
      </c>
    </row>
    <row r="10" spans="1:10" x14ac:dyDescent="0.25">
      <c r="A10" s="8">
        <v>9</v>
      </c>
      <c r="B10" s="5">
        <v>11</v>
      </c>
      <c r="C10" s="5">
        <v>13</v>
      </c>
      <c r="D10" s="5">
        <v>10</v>
      </c>
      <c r="E10" s="4">
        <v>1</v>
      </c>
      <c r="F10" s="4" t="s">
        <v>49</v>
      </c>
      <c r="G10" s="8">
        <v>1</v>
      </c>
      <c r="H10" s="8">
        <v>3</v>
      </c>
      <c r="I10" s="8">
        <v>0</v>
      </c>
      <c r="J10" s="10">
        <v>4</v>
      </c>
    </row>
    <row r="11" spans="1:10" x14ac:dyDescent="0.25">
      <c r="A11" s="8">
        <v>10</v>
      </c>
      <c r="B11" s="5">
        <v>11</v>
      </c>
      <c r="C11" s="5">
        <v>13</v>
      </c>
      <c r="D11" s="5">
        <v>2</v>
      </c>
      <c r="E11" s="4">
        <v>1</v>
      </c>
      <c r="F11" s="4" t="s">
        <v>49</v>
      </c>
      <c r="G11" s="8">
        <v>1</v>
      </c>
      <c r="H11" s="8">
        <v>3</v>
      </c>
      <c r="I11" s="8">
        <v>0</v>
      </c>
      <c r="J11" s="10">
        <v>3</v>
      </c>
    </row>
    <row r="12" spans="1:10" x14ac:dyDescent="0.25">
      <c r="A12" s="8">
        <v>11</v>
      </c>
      <c r="B12" s="5">
        <v>11</v>
      </c>
      <c r="C12" s="5">
        <v>11</v>
      </c>
      <c r="D12" s="5">
        <v>5</v>
      </c>
      <c r="E12" s="4">
        <v>1</v>
      </c>
      <c r="F12" s="4" t="s">
        <v>49</v>
      </c>
      <c r="G12" s="8">
        <v>0</v>
      </c>
      <c r="H12" s="8">
        <v>3</v>
      </c>
      <c r="I12" s="8">
        <v>-1.3627755916087867</v>
      </c>
      <c r="J12" s="10">
        <v>3</v>
      </c>
    </row>
    <row r="13" spans="1:10" x14ac:dyDescent="0.25">
      <c r="A13" s="8">
        <v>12</v>
      </c>
      <c r="B13" s="5">
        <v>10</v>
      </c>
      <c r="C13" s="5">
        <v>11</v>
      </c>
      <c r="D13" s="5">
        <v>1</v>
      </c>
      <c r="E13" s="4">
        <v>1</v>
      </c>
      <c r="F13" s="4" t="s">
        <v>49</v>
      </c>
      <c r="G13" s="8">
        <v>0</v>
      </c>
      <c r="H13" s="8">
        <v>1</v>
      </c>
      <c r="I13" s="8">
        <v>-0.62680910116412081</v>
      </c>
      <c r="J13" s="10">
        <v>1</v>
      </c>
    </row>
    <row r="14" spans="1:10" x14ac:dyDescent="0.25">
      <c r="A14" s="8">
        <v>13</v>
      </c>
      <c r="B14" s="5">
        <v>9</v>
      </c>
      <c r="C14" s="5">
        <v>13</v>
      </c>
      <c r="D14" s="5">
        <v>7</v>
      </c>
      <c r="E14" s="4">
        <v>1</v>
      </c>
      <c r="F14" s="4" t="s">
        <v>49</v>
      </c>
      <c r="G14" s="8">
        <v>0</v>
      </c>
      <c r="H14" s="8">
        <v>0</v>
      </c>
      <c r="I14" s="8">
        <v>1.5028821168640838</v>
      </c>
      <c r="J14" s="10">
        <v>3</v>
      </c>
    </row>
    <row r="15" spans="1:10" x14ac:dyDescent="0.25">
      <c r="A15" s="8">
        <v>14</v>
      </c>
      <c r="B15" s="5">
        <v>10</v>
      </c>
      <c r="C15" s="5">
        <v>11</v>
      </c>
      <c r="D15" s="5">
        <v>3</v>
      </c>
      <c r="E15" s="4">
        <v>1</v>
      </c>
      <c r="F15" s="4" t="s">
        <v>49</v>
      </c>
      <c r="G15" s="8">
        <v>1</v>
      </c>
      <c r="H15" s="8">
        <v>3</v>
      </c>
      <c r="I15" s="8">
        <v>0</v>
      </c>
      <c r="J15" s="10">
        <v>3</v>
      </c>
    </row>
    <row r="16" spans="1:10" x14ac:dyDescent="0.25">
      <c r="A16" s="8">
        <v>15</v>
      </c>
      <c r="B16" s="5">
        <v>11</v>
      </c>
      <c r="C16" s="5">
        <v>13</v>
      </c>
      <c r="D16" s="5">
        <v>9</v>
      </c>
      <c r="E16" s="4">
        <v>1</v>
      </c>
      <c r="F16" s="4" t="s">
        <v>49</v>
      </c>
      <c r="G16" s="8">
        <v>1</v>
      </c>
      <c r="H16" s="8">
        <v>3</v>
      </c>
      <c r="I16" s="8">
        <v>0</v>
      </c>
      <c r="J16" s="10">
        <v>3</v>
      </c>
    </row>
    <row r="17" spans="1:10" x14ac:dyDescent="0.25">
      <c r="A17" s="8">
        <v>16</v>
      </c>
      <c r="B17" s="5">
        <v>10</v>
      </c>
      <c r="C17" s="5">
        <v>13</v>
      </c>
      <c r="D17" s="5">
        <v>5</v>
      </c>
      <c r="E17" s="4">
        <v>1</v>
      </c>
      <c r="F17" s="4" t="s">
        <v>49</v>
      </c>
      <c r="G17" s="8">
        <v>0</v>
      </c>
      <c r="H17" s="8">
        <v>1</v>
      </c>
      <c r="I17" s="8">
        <v>-0.62680910116412081</v>
      </c>
      <c r="J17" s="10">
        <v>4</v>
      </c>
    </row>
    <row r="18" spans="1:10" x14ac:dyDescent="0.25">
      <c r="A18" s="8">
        <v>17</v>
      </c>
      <c r="B18" s="5">
        <v>10</v>
      </c>
      <c r="C18" s="5">
        <v>12</v>
      </c>
      <c r="D18" s="5">
        <v>10</v>
      </c>
      <c r="E18" s="4">
        <v>1</v>
      </c>
      <c r="F18" s="4" t="s">
        <v>49</v>
      </c>
      <c r="G18" s="8">
        <v>0</v>
      </c>
      <c r="H18" s="8">
        <v>0</v>
      </c>
      <c r="I18" s="8">
        <v>1.5028821168640838</v>
      </c>
      <c r="J18" s="10">
        <v>4</v>
      </c>
    </row>
    <row r="19" spans="1:10" x14ac:dyDescent="0.25">
      <c r="A19" s="8">
        <v>18</v>
      </c>
      <c r="B19" s="5">
        <v>7</v>
      </c>
      <c r="C19" s="5">
        <v>11</v>
      </c>
      <c r="D19" s="5">
        <v>7</v>
      </c>
      <c r="E19" s="4">
        <v>1</v>
      </c>
      <c r="F19" s="4" t="s">
        <v>49</v>
      </c>
      <c r="G19" s="8">
        <v>0</v>
      </c>
      <c r="H19" s="8">
        <v>1</v>
      </c>
      <c r="I19" s="8">
        <v>0.11791839373257315</v>
      </c>
      <c r="J19" s="10">
        <v>1</v>
      </c>
    </row>
    <row r="20" spans="1:10" x14ac:dyDescent="0.25">
      <c r="A20" s="8">
        <v>19</v>
      </c>
      <c r="B20" s="5">
        <v>10</v>
      </c>
      <c r="C20" s="5">
        <v>9</v>
      </c>
      <c r="D20" s="5">
        <v>8</v>
      </c>
      <c r="E20" s="4">
        <v>1</v>
      </c>
      <c r="F20" s="4" t="s">
        <v>49</v>
      </c>
      <c r="G20" s="8">
        <v>0</v>
      </c>
      <c r="H20" s="8">
        <v>1</v>
      </c>
      <c r="I20" s="8">
        <v>-0.12493873660830002</v>
      </c>
      <c r="J20" s="10">
        <v>4</v>
      </c>
    </row>
    <row r="21" spans="1:10" x14ac:dyDescent="0.25">
      <c r="A21" s="8">
        <v>20</v>
      </c>
      <c r="B21" s="5">
        <v>10</v>
      </c>
      <c r="C21" s="5">
        <v>10</v>
      </c>
      <c r="D21" s="5">
        <v>9</v>
      </c>
      <c r="E21" s="4">
        <v>1</v>
      </c>
      <c r="F21" s="4" t="s">
        <v>49</v>
      </c>
      <c r="G21" s="8">
        <v>1</v>
      </c>
      <c r="H21" s="8">
        <v>3</v>
      </c>
      <c r="I21" s="8">
        <v>0</v>
      </c>
      <c r="J21" s="10">
        <v>4</v>
      </c>
    </row>
    <row r="22" spans="1:10" x14ac:dyDescent="0.25">
      <c r="A22" s="8">
        <v>21</v>
      </c>
      <c r="B22" s="5">
        <v>11</v>
      </c>
      <c r="C22" s="5">
        <v>11</v>
      </c>
      <c r="D22" s="5">
        <v>6</v>
      </c>
      <c r="E22" s="4">
        <v>1</v>
      </c>
      <c r="F22" s="4" t="s">
        <v>49</v>
      </c>
      <c r="G22" s="8">
        <v>1</v>
      </c>
      <c r="H22" s="8">
        <v>3</v>
      </c>
      <c r="I22" s="8">
        <v>0</v>
      </c>
      <c r="J22" s="10">
        <v>4</v>
      </c>
    </row>
    <row r="23" spans="1:10" x14ac:dyDescent="0.25">
      <c r="A23" s="8">
        <v>22</v>
      </c>
      <c r="B23" s="5">
        <v>9</v>
      </c>
      <c r="C23" s="5">
        <v>8</v>
      </c>
      <c r="D23" s="5">
        <v>10</v>
      </c>
      <c r="E23" s="4">
        <v>1</v>
      </c>
      <c r="F23" s="4" t="s">
        <v>49</v>
      </c>
      <c r="G23" s="8">
        <v>0</v>
      </c>
      <c r="H23" s="8">
        <v>0</v>
      </c>
      <c r="I23" s="8">
        <v>-0.70278520733653416</v>
      </c>
      <c r="J23" s="10">
        <v>2</v>
      </c>
    </row>
    <row r="24" spans="1:10" x14ac:dyDescent="0.25">
      <c r="A24" s="8">
        <v>23</v>
      </c>
      <c r="B24" s="5">
        <v>7</v>
      </c>
      <c r="C24" s="5">
        <v>10</v>
      </c>
      <c r="D24" s="5">
        <v>4</v>
      </c>
      <c r="E24" s="4">
        <v>1</v>
      </c>
      <c r="F24" s="4" t="s">
        <v>49</v>
      </c>
      <c r="G24" s="8">
        <v>0</v>
      </c>
      <c r="H24" s="8">
        <v>0</v>
      </c>
      <c r="I24" s="8">
        <v>9.691001300805642E-2</v>
      </c>
      <c r="J24" s="10">
        <v>1</v>
      </c>
    </row>
    <row r="25" spans="1:10" x14ac:dyDescent="0.25">
      <c r="A25" s="8">
        <v>24</v>
      </c>
      <c r="B25" s="5">
        <v>10</v>
      </c>
      <c r="C25" s="5">
        <v>12</v>
      </c>
      <c r="D25" s="5">
        <v>2</v>
      </c>
      <c r="E25" s="4">
        <v>1</v>
      </c>
      <c r="F25" s="4" t="s">
        <v>49</v>
      </c>
      <c r="G25" s="8">
        <v>0</v>
      </c>
      <c r="H25" s="8">
        <v>1</v>
      </c>
      <c r="I25" s="8">
        <v>-0.12493873660830002</v>
      </c>
      <c r="J25" s="10">
        <v>4</v>
      </c>
    </row>
    <row r="26" spans="1:10" x14ac:dyDescent="0.25">
      <c r="A26" s="8">
        <v>25</v>
      </c>
      <c r="B26" s="5">
        <v>11</v>
      </c>
      <c r="C26" s="5">
        <v>9</v>
      </c>
      <c r="D26" s="5">
        <v>1</v>
      </c>
      <c r="E26" s="4">
        <v>1</v>
      </c>
      <c r="F26" s="4" t="s">
        <v>49</v>
      </c>
      <c r="G26" s="8">
        <v>0</v>
      </c>
      <c r="H26" s="8">
        <v>1</v>
      </c>
      <c r="I26" s="8">
        <v>-0.12493873660830002</v>
      </c>
      <c r="J26" s="10">
        <v>4</v>
      </c>
    </row>
    <row r="27" spans="1:10" x14ac:dyDescent="0.25">
      <c r="A27" s="8">
        <v>26</v>
      </c>
      <c r="B27" s="5">
        <v>8</v>
      </c>
      <c r="C27" s="5">
        <v>12</v>
      </c>
      <c r="D27" s="5">
        <v>8</v>
      </c>
      <c r="E27" s="4">
        <v>1</v>
      </c>
      <c r="F27" s="4" t="s">
        <v>49</v>
      </c>
      <c r="G27" s="8">
        <v>0</v>
      </c>
      <c r="H27" s="8">
        <v>2</v>
      </c>
      <c r="I27" s="8">
        <v>0.11791839373257315</v>
      </c>
      <c r="J27" s="10">
        <v>2</v>
      </c>
    </row>
    <row r="28" spans="1:10" x14ac:dyDescent="0.25">
      <c r="A28" s="8">
        <v>27</v>
      </c>
      <c r="B28" s="5">
        <v>9</v>
      </c>
      <c r="C28" s="5">
        <v>10</v>
      </c>
      <c r="D28" s="5">
        <v>3</v>
      </c>
      <c r="E28" s="4">
        <v>1</v>
      </c>
      <c r="F28" s="4" t="s">
        <v>49</v>
      </c>
      <c r="G28" s="8">
        <v>0</v>
      </c>
      <c r="H28" s="8">
        <v>1</v>
      </c>
      <c r="I28" s="8">
        <v>-0.12493873660830002</v>
      </c>
      <c r="J28" s="10">
        <v>4</v>
      </c>
    </row>
    <row r="29" spans="1:10" x14ac:dyDescent="0.25">
      <c r="A29" s="8">
        <v>28</v>
      </c>
      <c r="B29" s="5">
        <v>6</v>
      </c>
      <c r="C29" s="5">
        <v>9</v>
      </c>
      <c r="D29" s="5">
        <v>6</v>
      </c>
      <c r="E29" s="4">
        <v>1</v>
      </c>
      <c r="F29" s="4" t="s">
        <v>49</v>
      </c>
      <c r="G29" s="8">
        <v>0</v>
      </c>
      <c r="H29" s="8">
        <v>1</v>
      </c>
      <c r="I29" s="8">
        <v>-0.62680910116412081</v>
      </c>
      <c r="J29" s="10">
        <v>2</v>
      </c>
    </row>
    <row r="30" spans="1:10" x14ac:dyDescent="0.25">
      <c r="A30" s="8">
        <v>29</v>
      </c>
      <c r="B30" s="5">
        <v>11</v>
      </c>
      <c r="C30" s="5">
        <v>12</v>
      </c>
      <c r="D30" s="5">
        <v>5</v>
      </c>
      <c r="E30" s="4">
        <v>1</v>
      </c>
      <c r="F30" s="4" t="s">
        <v>49</v>
      </c>
      <c r="G30" s="8">
        <v>0</v>
      </c>
      <c r="H30" s="8">
        <v>1</v>
      </c>
      <c r="I30" s="8">
        <v>-0.12493873660830002</v>
      </c>
      <c r="J30" s="10">
        <v>3</v>
      </c>
    </row>
    <row r="31" spans="1:10" x14ac:dyDescent="0.25">
      <c r="A31" s="8">
        <v>30</v>
      </c>
      <c r="B31" s="5">
        <v>7</v>
      </c>
      <c r="C31" s="5">
        <v>6</v>
      </c>
      <c r="D31" s="5">
        <v>4</v>
      </c>
      <c r="E31" s="4">
        <v>1</v>
      </c>
      <c r="F31" s="4" t="s">
        <v>49</v>
      </c>
      <c r="G31" s="8">
        <v>0</v>
      </c>
      <c r="H31" s="8">
        <v>1</v>
      </c>
      <c r="I31" s="8">
        <v>-0.41920079066237464</v>
      </c>
      <c r="J31" s="10">
        <v>1</v>
      </c>
    </row>
    <row r="32" spans="1:10" x14ac:dyDescent="0.25">
      <c r="A32" s="8">
        <v>31</v>
      </c>
      <c r="B32" s="5">
        <v>11</v>
      </c>
      <c r="C32" s="5">
        <v>11</v>
      </c>
      <c r="D32" s="5">
        <v>7</v>
      </c>
      <c r="E32" s="4">
        <v>1</v>
      </c>
      <c r="F32" s="4" t="s">
        <v>49</v>
      </c>
      <c r="G32" s="8">
        <v>0</v>
      </c>
      <c r="H32" s="8">
        <v>1</v>
      </c>
      <c r="I32" s="8">
        <v>-0.12493873660830002</v>
      </c>
      <c r="J32" s="10">
        <v>4</v>
      </c>
    </row>
    <row r="33" spans="1:10" x14ac:dyDescent="0.25">
      <c r="A33" s="8">
        <v>32</v>
      </c>
      <c r="B33" s="5">
        <v>9</v>
      </c>
      <c r="C33" s="5">
        <v>12</v>
      </c>
      <c r="D33" s="5">
        <v>2</v>
      </c>
      <c r="E33" s="4">
        <v>1</v>
      </c>
      <c r="F33" s="4" t="s">
        <v>49</v>
      </c>
      <c r="G33" s="8">
        <v>0</v>
      </c>
      <c r="H33" s="8">
        <v>0</v>
      </c>
      <c r="I33" s="8">
        <v>0.13175417064341682</v>
      </c>
      <c r="J33" s="10">
        <v>3</v>
      </c>
    </row>
    <row r="34" spans="1:10" x14ac:dyDescent="0.25">
      <c r="A34" s="8">
        <v>33</v>
      </c>
      <c r="B34" s="5">
        <v>10</v>
      </c>
      <c r="C34" s="5">
        <v>11</v>
      </c>
      <c r="D34" s="5">
        <v>9</v>
      </c>
      <c r="E34" s="4">
        <v>1</v>
      </c>
      <c r="F34" s="4" t="s">
        <v>49</v>
      </c>
      <c r="G34" s="8">
        <v>0</v>
      </c>
      <c r="H34" s="8">
        <v>1</v>
      </c>
      <c r="I34" s="8">
        <v>-4.8182755238576493E-2</v>
      </c>
      <c r="J34" s="10">
        <v>3</v>
      </c>
    </row>
    <row r="35" spans="1:10" x14ac:dyDescent="0.25">
      <c r="A35" s="8">
        <v>34</v>
      </c>
      <c r="B35" s="5">
        <v>10</v>
      </c>
      <c r="C35" s="5">
        <v>8</v>
      </c>
      <c r="D35" s="5">
        <v>1</v>
      </c>
      <c r="E35" s="4">
        <v>1</v>
      </c>
      <c r="F35" s="4" t="s">
        <v>49</v>
      </c>
      <c r="G35" s="8">
        <v>0</v>
      </c>
      <c r="H35" s="8">
        <v>0</v>
      </c>
      <c r="I35" s="8">
        <v>-0.46341211273664518</v>
      </c>
      <c r="J35" s="10">
        <v>3</v>
      </c>
    </row>
    <row r="36" spans="1:10" x14ac:dyDescent="0.25">
      <c r="A36" s="8">
        <v>35</v>
      </c>
      <c r="B36" s="5">
        <v>11</v>
      </c>
      <c r="C36" s="5">
        <v>12</v>
      </c>
      <c r="D36" s="5">
        <v>10</v>
      </c>
      <c r="E36" s="4">
        <v>1</v>
      </c>
      <c r="F36" s="4" t="s">
        <v>49</v>
      </c>
      <c r="G36" s="8">
        <v>0</v>
      </c>
      <c r="H36" s="8">
        <v>1</v>
      </c>
      <c r="I36" s="8">
        <v>-0.12493873660830002</v>
      </c>
      <c r="J36" s="10">
        <v>4</v>
      </c>
    </row>
    <row r="37" spans="1:10" x14ac:dyDescent="0.25">
      <c r="A37" s="8">
        <v>36</v>
      </c>
      <c r="B37" s="5">
        <v>11</v>
      </c>
      <c r="C37" s="5">
        <v>11</v>
      </c>
      <c r="D37" s="5">
        <v>3</v>
      </c>
      <c r="E37" s="4">
        <v>1</v>
      </c>
      <c r="F37" s="4" t="s">
        <v>49</v>
      </c>
      <c r="G37" s="8">
        <v>1</v>
      </c>
      <c r="H37" s="8">
        <v>3</v>
      </c>
      <c r="I37" s="8">
        <v>0</v>
      </c>
      <c r="J37" s="10">
        <v>3</v>
      </c>
    </row>
    <row r="38" spans="1:10" x14ac:dyDescent="0.25">
      <c r="A38" s="8">
        <v>37</v>
      </c>
      <c r="B38" s="5">
        <v>9</v>
      </c>
      <c r="C38" s="5">
        <v>12</v>
      </c>
      <c r="D38" s="5">
        <v>8</v>
      </c>
      <c r="E38" s="4">
        <v>1</v>
      </c>
      <c r="F38" s="4" t="s">
        <v>49</v>
      </c>
      <c r="G38" s="8">
        <v>0</v>
      </c>
      <c r="H38" s="8">
        <v>1</v>
      </c>
      <c r="I38" s="8">
        <v>-0.12493873660830002</v>
      </c>
      <c r="J38" s="10">
        <v>1</v>
      </c>
    </row>
    <row r="39" spans="1:10" x14ac:dyDescent="0.25">
      <c r="A39" s="8">
        <v>38</v>
      </c>
      <c r="B39" s="5">
        <v>10</v>
      </c>
      <c r="C39" s="5">
        <v>8</v>
      </c>
      <c r="D39" s="5">
        <v>5</v>
      </c>
      <c r="E39" s="4">
        <v>1</v>
      </c>
      <c r="F39" s="4" t="s">
        <v>49</v>
      </c>
      <c r="G39" s="8">
        <v>0</v>
      </c>
      <c r="H39" s="8">
        <v>1</v>
      </c>
      <c r="I39" s="8">
        <v>0.11791839373257315</v>
      </c>
      <c r="J39" s="10">
        <v>3</v>
      </c>
    </row>
    <row r="40" spans="1:10" x14ac:dyDescent="0.25">
      <c r="A40" s="8">
        <v>39</v>
      </c>
      <c r="B40" s="5">
        <v>6</v>
      </c>
      <c r="C40" s="5">
        <v>4</v>
      </c>
      <c r="D40" s="5">
        <v>6</v>
      </c>
      <c r="E40" s="4">
        <v>1</v>
      </c>
      <c r="F40" s="4" t="s">
        <v>49</v>
      </c>
      <c r="G40" s="8">
        <v>0</v>
      </c>
      <c r="H40" s="8">
        <v>1</v>
      </c>
      <c r="I40" s="8">
        <v>-3.8752588992016682E-2</v>
      </c>
      <c r="J40" s="10">
        <v>4</v>
      </c>
    </row>
    <row r="41" spans="1:10" x14ac:dyDescent="0.25">
      <c r="A41" s="8">
        <v>40</v>
      </c>
      <c r="B41" s="5">
        <v>10</v>
      </c>
      <c r="C41" s="5">
        <v>11</v>
      </c>
      <c r="D41" s="5">
        <v>7</v>
      </c>
      <c r="E41" s="4">
        <v>1</v>
      </c>
      <c r="F41" s="4" t="s">
        <v>49</v>
      </c>
      <c r="G41" s="8">
        <v>1</v>
      </c>
      <c r="H41" s="8">
        <v>3</v>
      </c>
      <c r="I41" s="8">
        <v>0</v>
      </c>
      <c r="J41" s="10">
        <v>4</v>
      </c>
    </row>
    <row r="42" spans="1:10" x14ac:dyDescent="0.25">
      <c r="A42" s="8">
        <v>41</v>
      </c>
      <c r="B42" s="5">
        <v>11</v>
      </c>
      <c r="C42" s="5">
        <v>12</v>
      </c>
      <c r="D42" s="5">
        <v>4</v>
      </c>
      <c r="E42" s="4">
        <v>1</v>
      </c>
      <c r="F42" s="4" t="s">
        <v>49</v>
      </c>
      <c r="G42" s="8">
        <v>0</v>
      </c>
      <c r="H42" s="8">
        <v>1</v>
      </c>
      <c r="I42" s="8">
        <v>-0.12493873660830002</v>
      </c>
      <c r="J42" s="10">
        <v>4</v>
      </c>
    </row>
    <row r="43" spans="1:10" x14ac:dyDescent="0.25">
      <c r="A43" s="8">
        <v>42</v>
      </c>
      <c r="B43" s="5">
        <v>7</v>
      </c>
      <c r="C43" s="5">
        <v>10</v>
      </c>
      <c r="D43" s="5">
        <v>9</v>
      </c>
      <c r="E43" s="4">
        <v>1</v>
      </c>
      <c r="F43" s="4" t="s">
        <v>49</v>
      </c>
      <c r="G43" s="8">
        <v>0</v>
      </c>
      <c r="H43" s="8">
        <v>1</v>
      </c>
      <c r="I43" s="8">
        <v>-0.62680910116412081</v>
      </c>
      <c r="J43" s="10">
        <v>4</v>
      </c>
    </row>
    <row r="44" spans="1:10" x14ac:dyDescent="0.25">
      <c r="A44" s="8">
        <v>43</v>
      </c>
      <c r="B44" s="5">
        <v>11</v>
      </c>
      <c r="C44" s="5">
        <v>13</v>
      </c>
      <c r="D44" s="5">
        <v>2</v>
      </c>
      <c r="E44" s="4">
        <v>1</v>
      </c>
      <c r="F44" s="4" t="s">
        <v>49</v>
      </c>
      <c r="G44" s="8">
        <v>0</v>
      </c>
      <c r="H44" s="8">
        <v>1</v>
      </c>
      <c r="I44" s="8">
        <v>-0.12493873660830002</v>
      </c>
      <c r="J44" s="10">
        <v>2</v>
      </c>
    </row>
    <row r="45" spans="1:10" x14ac:dyDescent="0.25">
      <c r="A45" s="8">
        <v>44</v>
      </c>
      <c r="B45" s="5">
        <v>10</v>
      </c>
      <c r="C45" s="5">
        <v>13</v>
      </c>
      <c r="D45" s="5">
        <v>10</v>
      </c>
      <c r="E45" s="4">
        <v>1</v>
      </c>
      <c r="F45" s="4" t="s">
        <v>49</v>
      </c>
      <c r="G45" s="8">
        <v>1</v>
      </c>
      <c r="H45" s="8">
        <v>3</v>
      </c>
      <c r="I45" s="8">
        <v>0</v>
      </c>
      <c r="J45" s="10">
        <v>3</v>
      </c>
    </row>
    <row r="46" spans="1:10" x14ac:dyDescent="0.25">
      <c r="A46" s="8">
        <v>45</v>
      </c>
      <c r="B46" s="5">
        <v>11</v>
      </c>
      <c r="C46" s="5">
        <v>11</v>
      </c>
      <c r="D46" s="5">
        <v>1</v>
      </c>
      <c r="E46" s="4">
        <v>1</v>
      </c>
      <c r="F46" s="4" t="s">
        <v>49</v>
      </c>
      <c r="G46" s="8">
        <v>1</v>
      </c>
      <c r="H46" s="8">
        <v>3</v>
      </c>
      <c r="I46" s="8">
        <v>0</v>
      </c>
      <c r="J46" s="10">
        <v>1</v>
      </c>
    </row>
    <row r="47" spans="1:10" x14ac:dyDescent="0.25">
      <c r="A47" s="8">
        <v>1</v>
      </c>
      <c r="B47" s="5">
        <v>11</v>
      </c>
      <c r="C47" s="5">
        <v>11</v>
      </c>
      <c r="D47" s="5">
        <v>10</v>
      </c>
      <c r="E47" s="4">
        <v>0</v>
      </c>
      <c r="F47" s="4" t="s">
        <v>49</v>
      </c>
      <c r="G47" s="8">
        <v>0</v>
      </c>
      <c r="H47" s="8">
        <v>1</v>
      </c>
      <c r="I47" s="8">
        <v>-1.0413926851582249</v>
      </c>
      <c r="J47" s="12">
        <v>4</v>
      </c>
    </row>
    <row r="48" spans="1:10" x14ac:dyDescent="0.25">
      <c r="A48" s="8">
        <v>2</v>
      </c>
      <c r="B48" s="5">
        <v>10</v>
      </c>
      <c r="C48" s="5">
        <v>13</v>
      </c>
      <c r="D48" s="5">
        <v>10</v>
      </c>
      <c r="E48" s="4">
        <v>0</v>
      </c>
      <c r="F48" s="4" t="s">
        <v>49</v>
      </c>
      <c r="G48" s="8">
        <v>0</v>
      </c>
      <c r="H48" s="8">
        <v>1</v>
      </c>
      <c r="I48" s="8">
        <v>1.3399480616943509</v>
      </c>
      <c r="J48" s="12">
        <v>3</v>
      </c>
    </row>
    <row r="49" spans="1:10" x14ac:dyDescent="0.25">
      <c r="A49" s="8">
        <v>3</v>
      </c>
      <c r="B49" s="5">
        <v>10</v>
      </c>
      <c r="C49" s="5">
        <v>13</v>
      </c>
      <c r="D49" s="5">
        <v>8</v>
      </c>
      <c r="E49" s="4">
        <v>0</v>
      </c>
      <c r="F49" s="4" t="s">
        <v>49</v>
      </c>
      <c r="G49" s="8">
        <v>1</v>
      </c>
      <c r="H49" s="8">
        <v>3</v>
      </c>
      <c r="I49" s="8">
        <v>0</v>
      </c>
      <c r="J49" s="12">
        <v>4</v>
      </c>
    </row>
    <row r="50" spans="1:10" x14ac:dyDescent="0.25">
      <c r="A50" s="8">
        <v>4</v>
      </c>
      <c r="B50" s="5">
        <v>11</v>
      </c>
      <c r="C50" s="5">
        <v>13</v>
      </c>
      <c r="D50" s="5">
        <v>8</v>
      </c>
      <c r="E50" s="4">
        <v>0</v>
      </c>
      <c r="F50" s="4" t="s">
        <v>49</v>
      </c>
      <c r="G50" s="8">
        <v>1</v>
      </c>
      <c r="H50" s="8">
        <v>3</v>
      </c>
      <c r="I50" s="8">
        <v>0</v>
      </c>
      <c r="J50" s="12">
        <v>4</v>
      </c>
    </row>
    <row r="51" spans="1:10" x14ac:dyDescent="0.25">
      <c r="A51" s="8">
        <v>5</v>
      </c>
      <c r="B51" s="5">
        <v>6</v>
      </c>
      <c r="C51" s="5">
        <v>12</v>
      </c>
      <c r="D51" s="5">
        <v>6</v>
      </c>
      <c r="E51" s="4">
        <v>0</v>
      </c>
      <c r="F51" s="4" t="s">
        <v>49</v>
      </c>
      <c r="G51" s="8">
        <v>1</v>
      </c>
      <c r="H51" s="8">
        <v>3</v>
      </c>
      <c r="I51" s="8">
        <v>0</v>
      </c>
      <c r="J51" s="12">
        <v>4</v>
      </c>
    </row>
    <row r="52" spans="1:10" x14ac:dyDescent="0.25">
      <c r="A52" s="8">
        <v>6</v>
      </c>
      <c r="B52" s="5">
        <v>10</v>
      </c>
      <c r="C52" s="5">
        <v>12</v>
      </c>
      <c r="D52" s="5">
        <v>6</v>
      </c>
      <c r="E52" s="4">
        <v>0</v>
      </c>
      <c r="F52" s="4" t="s">
        <v>49</v>
      </c>
      <c r="G52" s="8">
        <v>0</v>
      </c>
      <c r="H52" s="8">
        <v>2</v>
      </c>
      <c r="I52" s="8">
        <v>-1.3198484519628476E-2</v>
      </c>
      <c r="J52" s="12">
        <v>3</v>
      </c>
    </row>
    <row r="53" spans="1:10" x14ac:dyDescent="0.25">
      <c r="A53" s="8">
        <v>7</v>
      </c>
      <c r="B53" s="5">
        <v>11</v>
      </c>
      <c r="C53" s="5">
        <v>11</v>
      </c>
      <c r="D53" s="5">
        <v>2</v>
      </c>
      <c r="E53" s="4">
        <v>0</v>
      </c>
      <c r="F53" s="4" t="s">
        <v>49</v>
      </c>
      <c r="G53" s="8">
        <v>0</v>
      </c>
      <c r="H53" s="8">
        <v>0</v>
      </c>
      <c r="I53" s="8">
        <v>-1.6008652327150188</v>
      </c>
      <c r="J53" s="12">
        <v>3</v>
      </c>
    </row>
    <row r="54" spans="1:10" x14ac:dyDescent="0.25">
      <c r="A54" s="8">
        <v>8</v>
      </c>
      <c r="B54" s="5">
        <v>11</v>
      </c>
      <c r="C54" s="5">
        <v>11</v>
      </c>
      <c r="D54" s="5">
        <v>4</v>
      </c>
      <c r="E54" s="4">
        <v>0</v>
      </c>
      <c r="F54" s="4" t="s">
        <v>49</v>
      </c>
      <c r="G54" s="8">
        <v>1</v>
      </c>
      <c r="H54" s="8">
        <v>3</v>
      </c>
      <c r="I54" s="8">
        <v>0</v>
      </c>
      <c r="J54" s="12">
        <v>3</v>
      </c>
    </row>
    <row r="55" spans="1:10" x14ac:dyDescent="0.25">
      <c r="A55" s="8">
        <v>9</v>
      </c>
      <c r="B55" s="5">
        <v>11</v>
      </c>
      <c r="C55" s="5">
        <v>13</v>
      </c>
      <c r="D55" s="5">
        <v>2</v>
      </c>
      <c r="E55" s="4">
        <v>0</v>
      </c>
      <c r="F55" s="4" t="s">
        <v>49</v>
      </c>
      <c r="G55" s="8">
        <v>1</v>
      </c>
      <c r="H55" s="8">
        <v>3</v>
      </c>
      <c r="I55" s="8">
        <v>0</v>
      </c>
      <c r="J55" s="12">
        <v>4</v>
      </c>
    </row>
    <row r="56" spans="1:10" x14ac:dyDescent="0.25">
      <c r="A56" s="8">
        <v>10</v>
      </c>
      <c r="B56" s="5">
        <v>11</v>
      </c>
      <c r="C56" s="5">
        <v>13</v>
      </c>
      <c r="D56" s="5">
        <v>4</v>
      </c>
      <c r="E56" s="4">
        <v>0</v>
      </c>
      <c r="F56" s="4" t="s">
        <v>49</v>
      </c>
      <c r="G56" s="8">
        <v>1</v>
      </c>
      <c r="H56" s="8">
        <v>3</v>
      </c>
      <c r="I56" s="8">
        <v>0</v>
      </c>
      <c r="J56" s="12">
        <v>4</v>
      </c>
    </row>
    <row r="57" spans="1:10" x14ac:dyDescent="0.25">
      <c r="A57" s="8">
        <v>11</v>
      </c>
      <c r="B57" s="5">
        <v>11</v>
      </c>
      <c r="C57" s="5">
        <v>11</v>
      </c>
      <c r="D57" s="5">
        <v>3</v>
      </c>
      <c r="E57" s="4">
        <v>0</v>
      </c>
      <c r="F57" s="4" t="s">
        <v>49</v>
      </c>
      <c r="G57" s="8">
        <v>0</v>
      </c>
      <c r="H57" s="8">
        <v>1</v>
      </c>
      <c r="I57" s="8">
        <v>-1.0413926851582249</v>
      </c>
      <c r="J57" s="12">
        <v>3</v>
      </c>
    </row>
    <row r="58" spans="1:10" x14ac:dyDescent="0.25">
      <c r="A58" s="8">
        <v>12</v>
      </c>
      <c r="B58" s="5">
        <v>10</v>
      </c>
      <c r="C58" s="5">
        <v>11</v>
      </c>
      <c r="D58" s="5">
        <v>2</v>
      </c>
      <c r="E58" s="4">
        <v>0</v>
      </c>
      <c r="F58" s="4" t="s">
        <v>49</v>
      </c>
      <c r="G58" s="8">
        <v>0</v>
      </c>
      <c r="H58" s="8">
        <v>1</v>
      </c>
      <c r="I58" s="8">
        <v>1.3399480616943509</v>
      </c>
      <c r="J58" s="12">
        <v>2</v>
      </c>
    </row>
    <row r="59" spans="1:10" x14ac:dyDescent="0.25">
      <c r="A59" s="8">
        <v>13</v>
      </c>
      <c r="B59" s="5">
        <v>9</v>
      </c>
      <c r="C59" s="5">
        <v>13</v>
      </c>
      <c r="D59" s="5">
        <v>5</v>
      </c>
      <c r="E59" s="4">
        <v>0</v>
      </c>
      <c r="F59" s="4" t="s">
        <v>49</v>
      </c>
      <c r="G59" s="8">
        <v>0</v>
      </c>
      <c r="H59" s="8">
        <v>0</v>
      </c>
      <c r="I59" s="8">
        <v>-0.6008652327150189</v>
      </c>
      <c r="J59" s="12">
        <v>3</v>
      </c>
    </row>
    <row r="60" spans="1:10" x14ac:dyDescent="0.25">
      <c r="A60" s="8">
        <v>14</v>
      </c>
      <c r="B60" s="5">
        <v>10</v>
      </c>
      <c r="C60" s="5">
        <v>11</v>
      </c>
      <c r="D60" s="5">
        <v>1</v>
      </c>
      <c r="E60" s="4">
        <v>0</v>
      </c>
      <c r="F60" s="4" t="s">
        <v>49</v>
      </c>
      <c r="G60" s="8">
        <v>0</v>
      </c>
      <c r="H60" s="8">
        <v>2</v>
      </c>
      <c r="I60" s="8">
        <v>-1.3198484519628476E-2</v>
      </c>
      <c r="J60" s="12">
        <v>3</v>
      </c>
    </row>
    <row r="61" spans="1:10" x14ac:dyDescent="0.25">
      <c r="A61" s="8">
        <v>15</v>
      </c>
      <c r="B61" s="5">
        <v>11</v>
      </c>
      <c r="C61" s="5">
        <v>13</v>
      </c>
      <c r="D61" s="5">
        <v>7</v>
      </c>
      <c r="E61" s="4">
        <v>0</v>
      </c>
      <c r="F61" s="4" t="s">
        <v>49</v>
      </c>
      <c r="G61" s="8">
        <v>1</v>
      </c>
      <c r="H61" s="8">
        <v>3</v>
      </c>
      <c r="I61" s="8">
        <v>0</v>
      </c>
      <c r="J61" s="12">
        <v>4</v>
      </c>
    </row>
    <row r="62" spans="1:10" x14ac:dyDescent="0.25">
      <c r="A62" s="8">
        <v>16</v>
      </c>
      <c r="B62" s="5">
        <v>10</v>
      </c>
      <c r="C62" s="5">
        <v>13</v>
      </c>
      <c r="D62" s="5">
        <v>3</v>
      </c>
      <c r="E62" s="4">
        <v>0</v>
      </c>
      <c r="F62" s="4" t="s">
        <v>49</v>
      </c>
      <c r="G62" s="8">
        <v>0</v>
      </c>
      <c r="H62" s="8">
        <v>1</v>
      </c>
      <c r="I62" s="8">
        <v>-5.7991946977686754E-2</v>
      </c>
      <c r="J62" s="12">
        <v>4</v>
      </c>
    </row>
    <row r="63" spans="1:10" x14ac:dyDescent="0.25">
      <c r="A63" s="8">
        <v>17</v>
      </c>
      <c r="B63" s="5">
        <v>10</v>
      </c>
      <c r="C63" s="5">
        <v>12</v>
      </c>
      <c r="D63" s="5">
        <v>9</v>
      </c>
      <c r="E63" s="4">
        <v>0</v>
      </c>
      <c r="F63" s="4" t="s">
        <v>49</v>
      </c>
      <c r="G63" s="8">
        <v>0</v>
      </c>
      <c r="H63" s="8">
        <v>0</v>
      </c>
      <c r="I63" s="8">
        <v>-0.38672035662383852</v>
      </c>
      <c r="J63" s="12">
        <v>1</v>
      </c>
    </row>
    <row r="64" spans="1:10" x14ac:dyDescent="0.25">
      <c r="A64" s="8">
        <v>18</v>
      </c>
      <c r="B64" s="5">
        <v>7</v>
      </c>
      <c r="C64" s="5">
        <v>11</v>
      </c>
      <c r="D64" s="5">
        <v>5</v>
      </c>
      <c r="E64" s="4">
        <v>0</v>
      </c>
      <c r="F64" s="4" t="s">
        <v>49</v>
      </c>
      <c r="G64" s="8">
        <v>0</v>
      </c>
      <c r="H64" s="8">
        <v>1</v>
      </c>
      <c r="I64" s="8">
        <v>1.3399480616943509</v>
      </c>
      <c r="J64" s="12">
        <v>1</v>
      </c>
    </row>
    <row r="65" spans="1:10" x14ac:dyDescent="0.25">
      <c r="A65" s="8">
        <v>19</v>
      </c>
      <c r="B65" s="5">
        <v>10</v>
      </c>
      <c r="C65" s="5">
        <v>9</v>
      </c>
      <c r="D65" s="5">
        <v>10</v>
      </c>
      <c r="E65" s="4">
        <v>0</v>
      </c>
      <c r="F65" s="4" t="s">
        <v>49</v>
      </c>
      <c r="G65" s="8">
        <v>0</v>
      </c>
      <c r="H65" s="8">
        <v>1</v>
      </c>
      <c r="I65" s="8">
        <v>-1.0413926851582249</v>
      </c>
      <c r="J65" s="12">
        <v>4</v>
      </c>
    </row>
    <row r="66" spans="1:10" x14ac:dyDescent="0.25">
      <c r="A66" s="8">
        <v>20</v>
      </c>
      <c r="B66" s="5">
        <v>10</v>
      </c>
      <c r="C66" s="5">
        <v>10</v>
      </c>
      <c r="D66" s="5">
        <v>7</v>
      </c>
      <c r="E66" s="4">
        <v>0</v>
      </c>
      <c r="F66" s="4" t="s">
        <v>49</v>
      </c>
      <c r="G66" s="8">
        <v>1</v>
      </c>
      <c r="H66" s="8">
        <v>3</v>
      </c>
      <c r="I66" s="8">
        <v>0</v>
      </c>
      <c r="J66" s="12">
        <v>4</v>
      </c>
    </row>
    <row r="67" spans="1:10" x14ac:dyDescent="0.25">
      <c r="A67" s="8">
        <v>21</v>
      </c>
      <c r="B67" s="5">
        <v>11</v>
      </c>
      <c r="C67" s="5">
        <v>11</v>
      </c>
      <c r="D67" s="5">
        <v>8</v>
      </c>
      <c r="E67" s="4">
        <v>0</v>
      </c>
      <c r="F67" s="4" t="s">
        <v>49</v>
      </c>
      <c r="G67" s="8">
        <v>1</v>
      </c>
      <c r="H67" s="8">
        <v>3</v>
      </c>
      <c r="I67" s="8">
        <v>0</v>
      </c>
      <c r="J67" s="12">
        <v>3</v>
      </c>
    </row>
    <row r="68" spans="1:10" x14ac:dyDescent="0.25">
      <c r="A68" s="8">
        <v>22</v>
      </c>
      <c r="B68" s="5">
        <v>9</v>
      </c>
      <c r="C68" s="5">
        <v>8</v>
      </c>
      <c r="D68" s="5">
        <v>9</v>
      </c>
      <c r="E68" s="4">
        <v>0</v>
      </c>
      <c r="F68" s="4" t="s">
        <v>49</v>
      </c>
      <c r="G68" s="8">
        <v>0</v>
      </c>
      <c r="H68" s="8">
        <v>0</v>
      </c>
      <c r="I68" s="8">
        <v>2.0554738962300241</v>
      </c>
      <c r="J68" s="12">
        <v>2</v>
      </c>
    </row>
    <row r="69" spans="1:10" x14ac:dyDescent="0.25">
      <c r="A69" s="8">
        <v>23</v>
      </c>
      <c r="B69" s="5">
        <v>7</v>
      </c>
      <c r="C69" s="5">
        <v>10</v>
      </c>
      <c r="D69" s="5">
        <v>6</v>
      </c>
      <c r="E69" s="4">
        <v>0</v>
      </c>
      <c r="F69" s="4" t="s">
        <v>49</v>
      </c>
      <c r="G69" s="8">
        <v>0</v>
      </c>
      <c r="H69" s="8">
        <v>2</v>
      </c>
      <c r="I69" s="8">
        <v>-2.0827853703164503</v>
      </c>
      <c r="J69" s="12">
        <v>2</v>
      </c>
    </row>
    <row r="70" spans="1:10" x14ac:dyDescent="0.25">
      <c r="A70" s="8">
        <v>24</v>
      </c>
      <c r="B70" s="5">
        <v>10</v>
      </c>
      <c r="C70" s="5">
        <v>12</v>
      </c>
      <c r="D70" s="5">
        <v>4</v>
      </c>
      <c r="E70" s="4">
        <v>0</v>
      </c>
      <c r="F70" s="4" t="s">
        <v>49</v>
      </c>
      <c r="G70" s="8">
        <v>0</v>
      </c>
      <c r="H70" s="8">
        <v>1</v>
      </c>
      <c r="I70" s="8">
        <v>-1.0413926851582249</v>
      </c>
      <c r="J70" s="12">
        <v>4</v>
      </c>
    </row>
    <row r="71" spans="1:10" x14ac:dyDescent="0.25">
      <c r="A71" s="8">
        <v>25</v>
      </c>
      <c r="B71" s="5">
        <v>11</v>
      </c>
      <c r="C71" s="5">
        <v>9</v>
      </c>
      <c r="D71" s="5">
        <v>2</v>
      </c>
      <c r="E71" s="4">
        <v>0</v>
      </c>
      <c r="F71" s="4" t="s">
        <v>49</v>
      </c>
      <c r="G71" s="8">
        <v>0</v>
      </c>
      <c r="H71" s="8">
        <v>1</v>
      </c>
      <c r="I71" s="8">
        <v>-1.0413926851582249</v>
      </c>
      <c r="J71" s="12">
        <v>4</v>
      </c>
    </row>
    <row r="72" spans="1:10" x14ac:dyDescent="0.25">
      <c r="A72" s="8">
        <v>26</v>
      </c>
      <c r="B72" s="5">
        <v>8</v>
      </c>
      <c r="C72" s="5">
        <v>12</v>
      </c>
      <c r="D72" s="5">
        <v>10</v>
      </c>
      <c r="E72" s="4">
        <v>0</v>
      </c>
      <c r="F72" s="4" t="s">
        <v>49</v>
      </c>
      <c r="G72" s="8">
        <v>0</v>
      </c>
      <c r="H72" s="8">
        <v>1</v>
      </c>
      <c r="I72" s="8">
        <v>1.3399480616943509</v>
      </c>
      <c r="J72" s="12">
        <v>2</v>
      </c>
    </row>
    <row r="73" spans="1:10" x14ac:dyDescent="0.25">
      <c r="A73" s="8">
        <v>27</v>
      </c>
      <c r="B73" s="5">
        <v>9</v>
      </c>
      <c r="C73" s="5">
        <v>10</v>
      </c>
      <c r="D73" s="5">
        <v>10</v>
      </c>
      <c r="E73" s="4">
        <v>0</v>
      </c>
      <c r="F73" s="4" t="s">
        <v>49</v>
      </c>
      <c r="G73" s="8">
        <v>0</v>
      </c>
      <c r="H73" s="8">
        <v>1</v>
      </c>
      <c r="I73" s="8">
        <v>-1.0413926851582249</v>
      </c>
      <c r="J73" s="12">
        <v>4</v>
      </c>
    </row>
    <row r="74" spans="1:10" x14ac:dyDescent="0.25">
      <c r="A74" s="8">
        <v>28</v>
      </c>
      <c r="B74" s="5">
        <v>6</v>
      </c>
      <c r="C74" s="5">
        <v>9</v>
      </c>
      <c r="D74" s="5">
        <v>8</v>
      </c>
      <c r="E74" s="4">
        <v>0</v>
      </c>
      <c r="F74" s="4" t="s">
        <v>49</v>
      </c>
      <c r="G74" s="8">
        <v>0</v>
      </c>
      <c r="H74" s="8">
        <v>1</v>
      </c>
      <c r="I74" s="8">
        <v>-5.7991946977686754E-2</v>
      </c>
      <c r="J74" s="12">
        <v>2</v>
      </c>
    </row>
    <row r="75" spans="1:10" x14ac:dyDescent="0.25">
      <c r="A75" s="8">
        <v>29</v>
      </c>
      <c r="B75" s="5">
        <v>11</v>
      </c>
      <c r="C75" s="5">
        <v>12</v>
      </c>
      <c r="D75" s="5">
        <v>3</v>
      </c>
      <c r="E75" s="4">
        <v>0</v>
      </c>
      <c r="F75" s="4" t="s">
        <v>49</v>
      </c>
      <c r="G75" s="8">
        <v>0</v>
      </c>
      <c r="H75" s="8">
        <v>1</v>
      </c>
      <c r="I75" s="8">
        <v>-1.0413926851582249</v>
      </c>
      <c r="J75" s="12">
        <v>3</v>
      </c>
    </row>
    <row r="76" spans="1:10" x14ac:dyDescent="0.25">
      <c r="A76" s="8">
        <v>30</v>
      </c>
      <c r="B76" s="5">
        <v>7</v>
      </c>
      <c r="C76" s="5">
        <v>6</v>
      </c>
      <c r="D76" s="5">
        <v>6</v>
      </c>
      <c r="E76" s="4">
        <v>0</v>
      </c>
      <c r="F76" s="4" t="s">
        <v>49</v>
      </c>
      <c r="G76" s="8">
        <v>0</v>
      </c>
      <c r="H76" s="8">
        <v>1</v>
      </c>
      <c r="I76" s="8">
        <v>0.95078197732981828</v>
      </c>
      <c r="J76" s="12">
        <v>1</v>
      </c>
    </row>
    <row r="77" spans="1:10" x14ac:dyDescent="0.25">
      <c r="A77" s="8">
        <v>31</v>
      </c>
      <c r="B77" s="5">
        <v>11</v>
      </c>
      <c r="C77" s="5">
        <v>11</v>
      </c>
      <c r="D77" s="5">
        <v>5</v>
      </c>
      <c r="E77" s="4">
        <v>0</v>
      </c>
      <c r="F77" s="4" t="s">
        <v>49</v>
      </c>
      <c r="G77" s="8">
        <v>0</v>
      </c>
      <c r="H77" s="8">
        <v>1</v>
      </c>
      <c r="I77" s="8">
        <v>-1.0413926851582249</v>
      </c>
      <c r="J77" s="12">
        <v>4</v>
      </c>
    </row>
    <row r="78" spans="1:10" x14ac:dyDescent="0.25">
      <c r="A78" s="8">
        <v>32</v>
      </c>
      <c r="B78" s="5">
        <v>9</v>
      </c>
      <c r="C78" s="5">
        <v>12</v>
      </c>
      <c r="D78" s="5">
        <v>4</v>
      </c>
      <c r="E78" s="4">
        <v>0</v>
      </c>
      <c r="F78" s="4" t="s">
        <v>49</v>
      </c>
      <c r="G78" s="8">
        <v>0</v>
      </c>
      <c r="H78" s="8">
        <v>1</v>
      </c>
      <c r="I78" s="8">
        <v>0.95078197732981828</v>
      </c>
      <c r="J78" s="12">
        <v>2</v>
      </c>
    </row>
    <row r="79" spans="1:10" x14ac:dyDescent="0.25">
      <c r="A79" s="8">
        <v>33</v>
      </c>
      <c r="B79" s="5">
        <v>10</v>
      </c>
      <c r="C79" s="5">
        <v>11</v>
      </c>
      <c r="D79" s="5">
        <v>7</v>
      </c>
      <c r="E79" s="4">
        <v>0</v>
      </c>
      <c r="F79" s="4" t="s">
        <v>49</v>
      </c>
      <c r="G79" s="8">
        <v>1</v>
      </c>
      <c r="H79" s="8">
        <v>3</v>
      </c>
      <c r="I79" s="8">
        <v>0</v>
      </c>
      <c r="J79" s="12">
        <v>4</v>
      </c>
    </row>
    <row r="80" spans="1:10" x14ac:dyDescent="0.25">
      <c r="A80" s="8">
        <v>34</v>
      </c>
      <c r="B80" s="5">
        <v>10</v>
      </c>
      <c r="C80" s="5">
        <v>8</v>
      </c>
      <c r="D80" s="5">
        <v>2</v>
      </c>
      <c r="E80" s="4">
        <v>0</v>
      </c>
      <c r="F80" s="4" t="s">
        <v>49</v>
      </c>
      <c r="G80" s="8">
        <v>0</v>
      </c>
      <c r="H80" s="8">
        <v>1</v>
      </c>
      <c r="I80" s="8">
        <v>-5.7991946977686754E-2</v>
      </c>
      <c r="J80" s="12">
        <v>3</v>
      </c>
    </row>
    <row r="81" spans="1:10" x14ac:dyDescent="0.25">
      <c r="A81" s="8">
        <v>35</v>
      </c>
      <c r="B81" s="5">
        <v>11</v>
      </c>
      <c r="C81" s="5">
        <v>12</v>
      </c>
      <c r="D81" s="5">
        <v>9</v>
      </c>
      <c r="E81" s="4">
        <v>0</v>
      </c>
      <c r="F81" s="4" t="s">
        <v>49</v>
      </c>
      <c r="G81" s="8">
        <v>0</v>
      </c>
      <c r="H81" s="8">
        <v>1</v>
      </c>
      <c r="I81" s="8">
        <v>-1.0413926851582249</v>
      </c>
      <c r="J81" s="12">
        <v>3</v>
      </c>
    </row>
    <row r="82" spans="1:10" x14ac:dyDescent="0.25">
      <c r="A82" s="8">
        <v>36</v>
      </c>
      <c r="B82" s="5">
        <v>11</v>
      </c>
      <c r="C82" s="5">
        <v>11</v>
      </c>
      <c r="D82" s="5">
        <v>1</v>
      </c>
      <c r="E82" s="4">
        <v>0</v>
      </c>
      <c r="F82" s="4" t="s">
        <v>49</v>
      </c>
      <c r="G82" s="8">
        <v>1</v>
      </c>
      <c r="H82" s="8">
        <v>3</v>
      </c>
      <c r="I82" s="8">
        <v>0</v>
      </c>
      <c r="J82" s="12">
        <v>3</v>
      </c>
    </row>
    <row r="83" spans="1:10" x14ac:dyDescent="0.25">
      <c r="A83" s="8">
        <v>37</v>
      </c>
      <c r="B83" s="5">
        <v>9</v>
      </c>
      <c r="C83" s="5">
        <v>12</v>
      </c>
      <c r="D83" s="5">
        <v>10</v>
      </c>
      <c r="E83" s="4">
        <v>0</v>
      </c>
      <c r="F83" s="4" t="s">
        <v>49</v>
      </c>
      <c r="G83" s="8">
        <v>0</v>
      </c>
      <c r="H83" s="8">
        <v>1</v>
      </c>
      <c r="I83" s="8">
        <v>-1.0413926851582249</v>
      </c>
      <c r="J83" s="12">
        <v>3</v>
      </c>
    </row>
    <row r="84" spans="1:10" x14ac:dyDescent="0.25">
      <c r="A84" s="8">
        <v>38</v>
      </c>
      <c r="B84" s="5">
        <v>10</v>
      </c>
      <c r="C84" s="5">
        <v>8</v>
      </c>
      <c r="D84" s="5">
        <v>3</v>
      </c>
      <c r="E84" s="4">
        <v>0</v>
      </c>
      <c r="F84" s="4" t="s">
        <v>49</v>
      </c>
      <c r="G84" s="8">
        <v>0</v>
      </c>
      <c r="H84" s="8">
        <v>1</v>
      </c>
      <c r="I84" s="8">
        <v>-5.7991946977686754E-2</v>
      </c>
      <c r="J84" s="12">
        <v>4</v>
      </c>
    </row>
    <row r="85" spans="1:10" x14ac:dyDescent="0.25">
      <c r="A85" s="8">
        <v>39</v>
      </c>
      <c r="B85" s="5">
        <v>6</v>
      </c>
      <c r="C85" s="5">
        <v>4</v>
      </c>
      <c r="D85" s="5">
        <v>8</v>
      </c>
      <c r="E85" s="4">
        <v>0</v>
      </c>
      <c r="F85" s="4" t="s">
        <v>49</v>
      </c>
      <c r="G85" s="8">
        <v>0</v>
      </c>
      <c r="H85" s="8">
        <v>0</v>
      </c>
      <c r="I85" s="8">
        <v>-0.58793534863635599</v>
      </c>
      <c r="J85" s="12">
        <v>4</v>
      </c>
    </row>
    <row r="86" spans="1:10" x14ac:dyDescent="0.25">
      <c r="A86" s="8">
        <v>40</v>
      </c>
      <c r="B86" s="5">
        <v>10</v>
      </c>
      <c r="C86" s="5">
        <v>11</v>
      </c>
      <c r="D86" s="5">
        <v>5</v>
      </c>
      <c r="E86" s="4">
        <v>0</v>
      </c>
      <c r="F86" s="4" t="s">
        <v>49</v>
      </c>
      <c r="G86" s="8">
        <v>0</v>
      </c>
      <c r="H86" s="8">
        <v>2</v>
      </c>
      <c r="I86" s="8">
        <v>0.69897000433601886</v>
      </c>
      <c r="J86" s="12">
        <v>3</v>
      </c>
    </row>
    <row r="87" spans="1:10" x14ac:dyDescent="0.25">
      <c r="A87" s="8">
        <v>41</v>
      </c>
      <c r="B87" s="5">
        <v>11</v>
      </c>
      <c r="C87" s="5">
        <v>12</v>
      </c>
      <c r="D87" s="5">
        <v>6</v>
      </c>
      <c r="E87" s="4">
        <v>0</v>
      </c>
      <c r="F87" s="4" t="s">
        <v>49</v>
      </c>
      <c r="G87" s="8">
        <v>0</v>
      </c>
      <c r="H87" s="8">
        <v>1</v>
      </c>
      <c r="I87" s="8">
        <v>-1.0413926851582249</v>
      </c>
      <c r="J87" s="12">
        <v>4</v>
      </c>
    </row>
    <row r="88" spans="1:10" x14ac:dyDescent="0.25">
      <c r="A88" s="8">
        <v>42</v>
      </c>
      <c r="B88" s="5">
        <v>7</v>
      </c>
      <c r="C88" s="5">
        <v>10</v>
      </c>
      <c r="D88" s="5">
        <v>7</v>
      </c>
      <c r="E88" s="4">
        <v>0</v>
      </c>
      <c r="F88" s="4" t="s">
        <v>49</v>
      </c>
      <c r="G88" s="8">
        <v>0</v>
      </c>
      <c r="H88" s="8">
        <v>1</v>
      </c>
      <c r="I88" s="8">
        <v>-5.7991946977686754E-2</v>
      </c>
      <c r="J88" s="12">
        <v>4</v>
      </c>
    </row>
    <row r="89" spans="1:10" x14ac:dyDescent="0.25">
      <c r="A89" s="8">
        <v>43</v>
      </c>
      <c r="B89" s="5">
        <v>11</v>
      </c>
      <c r="C89" s="5">
        <v>13</v>
      </c>
      <c r="D89" s="5">
        <v>4</v>
      </c>
      <c r="E89" s="4">
        <v>0</v>
      </c>
      <c r="F89" s="4" t="s">
        <v>49</v>
      </c>
      <c r="G89" s="8">
        <v>1</v>
      </c>
      <c r="H89" s="8">
        <v>3</v>
      </c>
      <c r="I89" s="8">
        <v>0</v>
      </c>
      <c r="J89" s="12">
        <v>2</v>
      </c>
    </row>
    <row r="90" spans="1:10" x14ac:dyDescent="0.25">
      <c r="A90" s="8">
        <v>44</v>
      </c>
      <c r="B90" s="5">
        <v>10</v>
      </c>
      <c r="C90" s="5">
        <v>13</v>
      </c>
      <c r="D90" s="5">
        <v>9</v>
      </c>
      <c r="E90" s="4">
        <v>0</v>
      </c>
      <c r="F90" s="4" t="s">
        <v>49</v>
      </c>
      <c r="G90" s="8">
        <v>0</v>
      </c>
      <c r="H90" s="8">
        <v>1</v>
      </c>
      <c r="I90" s="8">
        <v>-4.3418421060688439E-2</v>
      </c>
      <c r="J90" s="12">
        <v>3</v>
      </c>
    </row>
    <row r="91" spans="1:10" x14ac:dyDescent="0.25">
      <c r="A91" s="8">
        <v>45</v>
      </c>
      <c r="B91" s="5">
        <v>11</v>
      </c>
      <c r="C91" s="5">
        <v>11</v>
      </c>
      <c r="D91" s="5">
        <v>2</v>
      </c>
      <c r="E91" s="4">
        <v>0</v>
      </c>
      <c r="F91" s="4" t="s">
        <v>49</v>
      </c>
      <c r="G91" s="8">
        <v>1</v>
      </c>
      <c r="H91" s="8">
        <v>3</v>
      </c>
      <c r="I91" s="8">
        <v>0</v>
      </c>
      <c r="J91" s="12">
        <v>3</v>
      </c>
    </row>
    <row r="92" spans="1:10" x14ac:dyDescent="0.25">
      <c r="A92" s="8">
        <v>1</v>
      </c>
      <c r="B92" s="5">
        <v>11</v>
      </c>
      <c r="C92" s="5">
        <v>11</v>
      </c>
      <c r="D92" s="5">
        <v>1</v>
      </c>
      <c r="E92" s="4">
        <v>1</v>
      </c>
      <c r="F92" s="4" t="s">
        <v>60</v>
      </c>
      <c r="G92" s="8">
        <v>0</v>
      </c>
      <c r="H92" s="8">
        <v>0</v>
      </c>
      <c r="I92" s="8">
        <v>0.59299558170045741</v>
      </c>
      <c r="J92" s="10">
        <v>3</v>
      </c>
    </row>
    <row r="93" spans="1:10" x14ac:dyDescent="0.25">
      <c r="A93" s="8">
        <v>2</v>
      </c>
      <c r="B93" s="5">
        <v>10</v>
      </c>
      <c r="C93" s="5">
        <v>13</v>
      </c>
      <c r="D93" s="5">
        <v>1</v>
      </c>
      <c r="E93" s="4">
        <v>1</v>
      </c>
      <c r="F93" s="4" t="s">
        <v>60</v>
      </c>
      <c r="G93" s="8">
        <v>0</v>
      </c>
      <c r="H93" s="8">
        <v>1</v>
      </c>
      <c r="I93" s="8">
        <v>-0.58346350283630388</v>
      </c>
      <c r="J93" s="10">
        <v>4</v>
      </c>
    </row>
    <row r="94" spans="1:10" x14ac:dyDescent="0.25">
      <c r="A94" s="8">
        <v>3</v>
      </c>
      <c r="B94" s="5">
        <v>10</v>
      </c>
      <c r="C94" s="5">
        <v>13</v>
      </c>
      <c r="D94" s="5">
        <v>3</v>
      </c>
      <c r="E94" s="4">
        <v>1</v>
      </c>
      <c r="F94" s="4" t="s">
        <v>60</v>
      </c>
      <c r="G94" s="8">
        <v>1</v>
      </c>
      <c r="H94" s="8">
        <v>3</v>
      </c>
      <c r="I94" s="8">
        <v>0</v>
      </c>
      <c r="J94" s="10">
        <v>3</v>
      </c>
    </row>
    <row r="95" spans="1:10" x14ac:dyDescent="0.25">
      <c r="A95" s="8">
        <v>4</v>
      </c>
      <c r="B95" s="5">
        <v>11</v>
      </c>
      <c r="C95" s="5">
        <v>13</v>
      </c>
      <c r="D95" s="5">
        <v>3</v>
      </c>
      <c r="E95" s="4">
        <v>1</v>
      </c>
      <c r="F95" s="4" t="s">
        <v>60</v>
      </c>
      <c r="G95" s="8">
        <v>0</v>
      </c>
      <c r="H95" s="8">
        <v>1</v>
      </c>
      <c r="I95" s="8">
        <v>-0.58346350283630388</v>
      </c>
      <c r="J95" s="10">
        <v>4</v>
      </c>
    </row>
    <row r="96" spans="1:10" x14ac:dyDescent="0.25">
      <c r="A96" s="8">
        <v>5</v>
      </c>
      <c r="B96" s="5">
        <v>6</v>
      </c>
      <c r="C96" s="5">
        <v>12</v>
      </c>
      <c r="D96" s="5">
        <v>5</v>
      </c>
      <c r="E96" s="4">
        <v>1</v>
      </c>
      <c r="F96" s="4" t="s">
        <v>60</v>
      </c>
      <c r="G96" s="8">
        <v>0</v>
      </c>
      <c r="H96" s="8">
        <v>1</v>
      </c>
      <c r="I96" s="8">
        <v>3.0619257462768966E-2</v>
      </c>
      <c r="J96" s="10">
        <v>4</v>
      </c>
    </row>
    <row r="97" spans="1:10" x14ac:dyDescent="0.25">
      <c r="A97" s="8">
        <v>6</v>
      </c>
      <c r="B97" s="5">
        <v>10</v>
      </c>
      <c r="C97" s="5">
        <v>12</v>
      </c>
      <c r="D97" s="5">
        <v>5</v>
      </c>
      <c r="E97" s="4">
        <v>1</v>
      </c>
      <c r="F97" s="4" t="s">
        <v>60</v>
      </c>
      <c r="G97" s="8">
        <v>1</v>
      </c>
      <c r="H97" s="8">
        <v>3</v>
      </c>
      <c r="I97" s="8">
        <v>0</v>
      </c>
      <c r="J97" s="10">
        <v>4</v>
      </c>
    </row>
    <row r="98" spans="1:10" x14ac:dyDescent="0.25">
      <c r="A98" s="8">
        <v>7</v>
      </c>
      <c r="B98" s="5">
        <v>11</v>
      </c>
      <c r="C98" s="5">
        <v>11</v>
      </c>
      <c r="D98" s="5">
        <v>9</v>
      </c>
      <c r="E98" s="4">
        <v>1</v>
      </c>
      <c r="F98" s="4" t="s">
        <v>60</v>
      </c>
      <c r="G98" s="8">
        <v>0</v>
      </c>
      <c r="H98" s="8">
        <v>1</v>
      </c>
      <c r="I98" s="8">
        <v>-0.13305662683047939</v>
      </c>
      <c r="J98" s="10">
        <v>3</v>
      </c>
    </row>
    <row r="99" spans="1:10" x14ac:dyDescent="0.25">
      <c r="A99" s="8">
        <v>8</v>
      </c>
      <c r="B99" s="5">
        <v>11</v>
      </c>
      <c r="C99" s="5">
        <v>11</v>
      </c>
      <c r="D99" s="5">
        <v>7</v>
      </c>
      <c r="E99" s="4">
        <v>1</v>
      </c>
      <c r="F99" s="4" t="s">
        <v>60</v>
      </c>
      <c r="G99" s="8">
        <v>1</v>
      </c>
      <c r="H99" s="8">
        <v>3</v>
      </c>
      <c r="I99" s="8">
        <v>0</v>
      </c>
      <c r="J99" s="10">
        <v>4</v>
      </c>
    </row>
    <row r="100" spans="1:10" x14ac:dyDescent="0.25">
      <c r="A100" s="8">
        <v>9</v>
      </c>
      <c r="B100" s="5">
        <v>11</v>
      </c>
      <c r="C100" s="5">
        <v>13</v>
      </c>
      <c r="D100" s="5">
        <v>9</v>
      </c>
      <c r="E100" s="4">
        <v>1</v>
      </c>
      <c r="F100" s="4" t="s">
        <v>60</v>
      </c>
      <c r="G100" s="8">
        <v>1</v>
      </c>
      <c r="H100" s="8">
        <v>3</v>
      </c>
      <c r="I100" s="8">
        <v>0</v>
      </c>
      <c r="J100" s="10">
        <v>3</v>
      </c>
    </row>
    <row r="101" spans="1:10" x14ac:dyDescent="0.25">
      <c r="A101" s="8">
        <v>10</v>
      </c>
      <c r="B101" s="5">
        <v>11</v>
      </c>
      <c r="C101" s="5">
        <v>13</v>
      </c>
      <c r="D101" s="5">
        <v>7</v>
      </c>
      <c r="E101" s="4">
        <v>1</v>
      </c>
      <c r="F101" s="4" t="s">
        <v>60</v>
      </c>
      <c r="G101" s="8">
        <v>1</v>
      </c>
      <c r="H101" s="8">
        <v>3</v>
      </c>
      <c r="I101" s="8">
        <v>0</v>
      </c>
      <c r="J101" s="10">
        <v>3</v>
      </c>
    </row>
    <row r="102" spans="1:10" x14ac:dyDescent="0.25">
      <c r="A102" s="8">
        <v>11</v>
      </c>
      <c r="B102" s="5">
        <v>11</v>
      </c>
      <c r="C102" s="5">
        <v>11</v>
      </c>
      <c r="D102" s="5">
        <v>8</v>
      </c>
      <c r="E102" s="4">
        <v>1</v>
      </c>
      <c r="F102" s="4" t="s">
        <v>60</v>
      </c>
      <c r="G102" s="8">
        <v>0</v>
      </c>
      <c r="H102" s="8">
        <v>1</v>
      </c>
      <c r="I102" s="8">
        <v>-0.13305662683047939</v>
      </c>
      <c r="J102" s="10">
        <v>3</v>
      </c>
    </row>
    <row r="103" spans="1:10" x14ac:dyDescent="0.25">
      <c r="A103" s="8">
        <v>12</v>
      </c>
      <c r="B103" s="5">
        <v>10</v>
      </c>
      <c r="C103" s="5">
        <v>11</v>
      </c>
      <c r="D103" s="5">
        <v>9</v>
      </c>
      <c r="E103" s="4">
        <v>1</v>
      </c>
      <c r="F103" s="4" t="s">
        <v>60</v>
      </c>
      <c r="G103" s="8">
        <v>0</v>
      </c>
      <c r="H103" s="8">
        <v>1</v>
      </c>
      <c r="I103" s="8">
        <v>7.4113816341489863E-2</v>
      </c>
      <c r="J103" s="10">
        <v>3</v>
      </c>
    </row>
    <row r="104" spans="1:10" x14ac:dyDescent="0.25">
      <c r="A104" s="8">
        <v>13</v>
      </c>
      <c r="B104" s="5">
        <v>9</v>
      </c>
      <c r="C104" s="5">
        <v>13</v>
      </c>
      <c r="D104" s="5">
        <v>6</v>
      </c>
      <c r="E104" s="4">
        <v>1</v>
      </c>
      <c r="F104" s="4" t="s">
        <v>60</v>
      </c>
      <c r="G104" s="8">
        <v>0</v>
      </c>
      <c r="H104" s="8">
        <v>0</v>
      </c>
      <c r="I104" s="8">
        <v>1.0113119419635572</v>
      </c>
      <c r="J104" s="10">
        <v>3</v>
      </c>
    </row>
    <row r="105" spans="1:10" x14ac:dyDescent="0.25">
      <c r="A105" s="8">
        <v>14</v>
      </c>
      <c r="B105" s="5">
        <v>10</v>
      </c>
      <c r="C105" s="5">
        <v>11</v>
      </c>
      <c r="D105" s="5">
        <v>10</v>
      </c>
      <c r="E105" s="4">
        <v>1</v>
      </c>
      <c r="F105" s="4" t="s">
        <v>60</v>
      </c>
      <c r="G105" s="8">
        <v>1</v>
      </c>
      <c r="H105" s="8">
        <v>3</v>
      </c>
      <c r="I105" s="8">
        <v>0</v>
      </c>
      <c r="J105" s="10">
        <v>3</v>
      </c>
    </row>
    <row r="106" spans="1:10" x14ac:dyDescent="0.25">
      <c r="A106" s="8">
        <v>15</v>
      </c>
      <c r="B106" s="5">
        <v>11</v>
      </c>
      <c r="C106" s="5">
        <v>13</v>
      </c>
      <c r="D106" s="5">
        <v>4</v>
      </c>
      <c r="E106" s="4">
        <v>1</v>
      </c>
      <c r="F106" s="4" t="s">
        <v>60</v>
      </c>
      <c r="G106" s="8">
        <v>1</v>
      </c>
      <c r="H106" s="8">
        <v>3</v>
      </c>
      <c r="I106" s="8">
        <v>0</v>
      </c>
      <c r="J106" s="10">
        <v>3</v>
      </c>
    </row>
    <row r="107" spans="1:10" x14ac:dyDescent="0.25">
      <c r="A107" s="8">
        <v>16</v>
      </c>
      <c r="B107" s="5">
        <v>10</v>
      </c>
      <c r="C107" s="5">
        <v>13</v>
      </c>
      <c r="D107" s="5">
        <v>8</v>
      </c>
      <c r="E107" s="4">
        <v>1</v>
      </c>
      <c r="F107" s="4" t="s">
        <v>60</v>
      </c>
      <c r="G107" s="8">
        <v>0</v>
      </c>
      <c r="H107" s="8">
        <v>1</v>
      </c>
      <c r="I107" s="8">
        <v>-0.58346350283630388</v>
      </c>
      <c r="J107" s="10">
        <v>4</v>
      </c>
    </row>
    <row r="108" spans="1:10" x14ac:dyDescent="0.25">
      <c r="A108" s="8">
        <v>17</v>
      </c>
      <c r="B108" s="5">
        <v>10</v>
      </c>
      <c r="C108" s="5">
        <v>12</v>
      </c>
      <c r="D108" s="5">
        <v>2</v>
      </c>
      <c r="E108" s="4">
        <v>1</v>
      </c>
      <c r="F108" s="4" t="s">
        <v>60</v>
      </c>
      <c r="G108" s="8">
        <v>0</v>
      </c>
      <c r="H108" s="8">
        <v>0</v>
      </c>
      <c r="I108" s="8">
        <v>1.0113119419635572</v>
      </c>
      <c r="J108" s="10">
        <v>3</v>
      </c>
    </row>
    <row r="109" spans="1:10" x14ac:dyDescent="0.25">
      <c r="A109" s="8">
        <v>18</v>
      </c>
      <c r="B109" s="5">
        <v>7</v>
      </c>
      <c r="C109" s="5">
        <v>11</v>
      </c>
      <c r="D109" s="5">
        <v>6</v>
      </c>
      <c r="E109" s="4">
        <v>1</v>
      </c>
      <c r="F109" s="4" t="s">
        <v>60</v>
      </c>
      <c r="G109" s="8">
        <v>0</v>
      </c>
      <c r="H109" s="8">
        <v>1</v>
      </c>
      <c r="I109" s="8">
        <v>7.4113816341489863E-2</v>
      </c>
      <c r="J109" s="10">
        <v>1</v>
      </c>
    </row>
    <row r="110" spans="1:10" x14ac:dyDescent="0.25">
      <c r="A110" s="8">
        <v>19</v>
      </c>
      <c r="B110" s="5">
        <v>10</v>
      </c>
      <c r="C110" s="5">
        <v>9</v>
      </c>
      <c r="D110" s="5">
        <v>1</v>
      </c>
      <c r="E110" s="4">
        <v>1</v>
      </c>
      <c r="F110" s="4" t="s">
        <v>60</v>
      </c>
      <c r="G110" s="8">
        <v>0</v>
      </c>
      <c r="H110" s="8">
        <v>0</v>
      </c>
      <c r="I110" s="8">
        <v>-0.24649858079580092</v>
      </c>
      <c r="J110" s="10">
        <v>4</v>
      </c>
    </row>
    <row r="111" spans="1:10" x14ac:dyDescent="0.25">
      <c r="A111" s="8">
        <v>20</v>
      </c>
      <c r="B111" s="5">
        <v>10</v>
      </c>
      <c r="C111" s="5">
        <v>10</v>
      </c>
      <c r="D111" s="5">
        <v>4</v>
      </c>
      <c r="E111" s="4">
        <v>1</v>
      </c>
      <c r="F111" s="4" t="s">
        <v>60</v>
      </c>
      <c r="G111" s="8">
        <v>1</v>
      </c>
      <c r="H111" s="8">
        <v>3</v>
      </c>
      <c r="I111" s="8">
        <v>0</v>
      </c>
      <c r="J111" s="10">
        <v>4</v>
      </c>
    </row>
    <row r="112" spans="1:10" x14ac:dyDescent="0.25">
      <c r="A112" s="8">
        <v>21</v>
      </c>
      <c r="B112" s="5">
        <v>11</v>
      </c>
      <c r="C112" s="5">
        <v>11</v>
      </c>
      <c r="D112" s="5">
        <v>3</v>
      </c>
      <c r="E112" s="4">
        <v>1</v>
      </c>
      <c r="F112" s="4" t="s">
        <v>60</v>
      </c>
      <c r="G112" s="8">
        <v>0</v>
      </c>
      <c r="H112" s="8">
        <v>1</v>
      </c>
      <c r="I112" s="8">
        <v>-0.13305662683047939</v>
      </c>
      <c r="J112" s="10">
        <v>4</v>
      </c>
    </row>
    <row r="113" spans="1:10" x14ac:dyDescent="0.25">
      <c r="A113" s="8">
        <v>22</v>
      </c>
      <c r="B113" s="5">
        <v>9</v>
      </c>
      <c r="C113" s="5">
        <v>8</v>
      </c>
      <c r="D113" s="5">
        <v>2</v>
      </c>
      <c r="E113" s="4">
        <v>1</v>
      </c>
      <c r="F113" s="4" t="s">
        <v>60</v>
      </c>
      <c r="G113" s="8">
        <v>0</v>
      </c>
      <c r="H113" s="8">
        <v>0</v>
      </c>
      <c r="I113" s="8">
        <v>-0.38622422549412927</v>
      </c>
      <c r="J113" s="10">
        <v>3</v>
      </c>
    </row>
    <row r="114" spans="1:10" x14ac:dyDescent="0.25">
      <c r="A114" s="8">
        <v>23</v>
      </c>
      <c r="B114" s="5">
        <v>7</v>
      </c>
      <c r="C114" s="5">
        <v>10</v>
      </c>
      <c r="D114" s="5">
        <v>5</v>
      </c>
      <c r="E114" s="4">
        <v>1</v>
      </c>
      <c r="F114" s="4" t="s">
        <v>60</v>
      </c>
      <c r="G114" s="8">
        <v>0</v>
      </c>
      <c r="H114" s="8">
        <v>1</v>
      </c>
      <c r="I114" s="8">
        <v>-0.15836249209524961</v>
      </c>
      <c r="J114" s="10">
        <v>2</v>
      </c>
    </row>
    <row r="115" spans="1:10" x14ac:dyDescent="0.25">
      <c r="A115" s="8">
        <v>24</v>
      </c>
      <c r="B115" s="5">
        <v>10</v>
      </c>
      <c r="C115" s="5">
        <v>12</v>
      </c>
      <c r="D115" s="5">
        <v>7</v>
      </c>
      <c r="E115" s="4">
        <v>1</v>
      </c>
      <c r="F115" s="4" t="s">
        <v>60</v>
      </c>
      <c r="G115" s="8">
        <v>0</v>
      </c>
      <c r="H115" s="8">
        <v>1</v>
      </c>
      <c r="I115" s="8">
        <v>-0.13305662683047939</v>
      </c>
      <c r="J115" s="10">
        <v>4</v>
      </c>
    </row>
    <row r="116" spans="1:10" x14ac:dyDescent="0.25">
      <c r="A116" s="8">
        <v>25</v>
      </c>
      <c r="B116" s="5">
        <v>11</v>
      </c>
      <c r="C116" s="5">
        <v>9</v>
      </c>
      <c r="D116" s="5">
        <v>9</v>
      </c>
      <c r="E116" s="4">
        <v>1</v>
      </c>
      <c r="F116" s="4" t="s">
        <v>60</v>
      </c>
      <c r="G116" s="8">
        <v>0</v>
      </c>
      <c r="H116" s="8">
        <v>1</v>
      </c>
      <c r="I116" s="8">
        <v>-0.13305662683047939</v>
      </c>
      <c r="J116" s="10">
        <v>4</v>
      </c>
    </row>
    <row r="117" spans="1:10" x14ac:dyDescent="0.25">
      <c r="A117" s="8">
        <v>26</v>
      </c>
      <c r="B117" s="5">
        <v>8</v>
      </c>
      <c r="C117" s="5">
        <v>12</v>
      </c>
      <c r="D117" s="5">
        <v>1</v>
      </c>
      <c r="E117" s="4">
        <v>1</v>
      </c>
      <c r="F117" s="4" t="s">
        <v>60</v>
      </c>
      <c r="G117" s="8">
        <v>0</v>
      </c>
      <c r="H117" s="8">
        <v>2</v>
      </c>
      <c r="I117" s="8">
        <v>7.4113816341489863E-2</v>
      </c>
      <c r="J117" s="10">
        <v>1</v>
      </c>
    </row>
    <row r="118" spans="1:10" x14ac:dyDescent="0.25">
      <c r="A118" s="8">
        <v>27</v>
      </c>
      <c r="B118" s="5">
        <v>9</v>
      </c>
      <c r="C118" s="5">
        <v>10</v>
      </c>
      <c r="D118" s="5">
        <v>1</v>
      </c>
      <c r="E118" s="4">
        <v>1</v>
      </c>
      <c r="F118" s="4" t="s">
        <v>60</v>
      </c>
      <c r="G118" s="8">
        <v>0</v>
      </c>
      <c r="H118" s="8">
        <v>0</v>
      </c>
      <c r="I118" s="8">
        <v>0.10170889588982512</v>
      </c>
      <c r="J118" s="10">
        <v>3</v>
      </c>
    </row>
    <row r="119" spans="1:10" x14ac:dyDescent="0.25">
      <c r="A119" s="8">
        <v>28</v>
      </c>
      <c r="B119" s="5">
        <v>6</v>
      </c>
      <c r="C119" s="5">
        <v>9</v>
      </c>
      <c r="D119" s="5">
        <v>3</v>
      </c>
      <c r="E119" s="4">
        <v>1</v>
      </c>
      <c r="F119" s="4" t="s">
        <v>60</v>
      </c>
      <c r="G119" s="8">
        <v>0</v>
      </c>
      <c r="H119" s="8">
        <v>0</v>
      </c>
      <c r="I119" s="8">
        <v>-0.38953946664560618</v>
      </c>
      <c r="J119" s="10">
        <v>1</v>
      </c>
    </row>
    <row r="120" spans="1:10" x14ac:dyDescent="0.25">
      <c r="A120" s="8">
        <v>29</v>
      </c>
      <c r="B120" s="5">
        <v>11</v>
      </c>
      <c r="C120" s="5">
        <v>12</v>
      </c>
      <c r="D120" s="5">
        <v>8</v>
      </c>
      <c r="E120" s="4">
        <v>1</v>
      </c>
      <c r="F120" s="4" t="s">
        <v>60</v>
      </c>
      <c r="G120" s="8">
        <v>0</v>
      </c>
      <c r="H120" s="8">
        <v>1</v>
      </c>
      <c r="I120" s="8">
        <v>0.52452069234731435</v>
      </c>
      <c r="J120" s="10">
        <v>3</v>
      </c>
    </row>
    <row r="121" spans="1:10" x14ac:dyDescent="0.25">
      <c r="A121" s="8">
        <v>30</v>
      </c>
      <c r="B121" s="5">
        <v>7</v>
      </c>
      <c r="C121" s="5">
        <v>6</v>
      </c>
      <c r="D121" s="5">
        <v>5</v>
      </c>
      <c r="E121" s="4">
        <v>1</v>
      </c>
      <c r="F121" s="4" t="s">
        <v>60</v>
      </c>
      <c r="G121" s="8">
        <v>0</v>
      </c>
      <c r="H121" s="8">
        <v>1</v>
      </c>
      <c r="I121" s="8">
        <v>-8.0393150909518818E-2</v>
      </c>
      <c r="J121" s="10">
        <v>1</v>
      </c>
    </row>
    <row r="122" spans="1:10" x14ac:dyDescent="0.25">
      <c r="A122" s="8">
        <v>31</v>
      </c>
      <c r="B122" s="5">
        <v>11</v>
      </c>
      <c r="C122" s="5">
        <v>11</v>
      </c>
      <c r="D122" s="5">
        <v>6</v>
      </c>
      <c r="E122" s="4">
        <v>1</v>
      </c>
      <c r="F122" s="4" t="s">
        <v>60</v>
      </c>
      <c r="G122" s="8">
        <v>0</v>
      </c>
      <c r="H122" s="8">
        <v>1</v>
      </c>
      <c r="I122" s="8">
        <v>-0.13305662683047939</v>
      </c>
      <c r="J122" s="10">
        <v>4</v>
      </c>
    </row>
    <row r="123" spans="1:10" x14ac:dyDescent="0.25">
      <c r="A123" s="8">
        <v>32</v>
      </c>
      <c r="B123" s="5">
        <v>9</v>
      </c>
      <c r="C123" s="5">
        <v>12</v>
      </c>
      <c r="D123" s="5">
        <v>7</v>
      </c>
      <c r="E123" s="4">
        <v>1</v>
      </c>
      <c r="F123" s="4" t="s">
        <v>60</v>
      </c>
      <c r="G123" s="8">
        <v>0</v>
      </c>
      <c r="H123" s="8">
        <v>1</v>
      </c>
      <c r="I123" s="8">
        <v>-0.58346350283630388</v>
      </c>
      <c r="J123" s="10">
        <v>2</v>
      </c>
    </row>
    <row r="124" spans="1:10" x14ac:dyDescent="0.25">
      <c r="A124" s="8">
        <v>33</v>
      </c>
      <c r="B124" s="5">
        <v>10</v>
      </c>
      <c r="C124" s="5">
        <v>11</v>
      </c>
      <c r="D124" s="5">
        <v>4</v>
      </c>
      <c r="E124" s="4">
        <v>1</v>
      </c>
      <c r="F124" s="4" t="s">
        <v>60</v>
      </c>
      <c r="G124" s="8">
        <v>0</v>
      </c>
      <c r="H124" s="8">
        <v>1</v>
      </c>
      <c r="I124" s="8">
        <v>0.52452069234731435</v>
      </c>
      <c r="J124" s="10">
        <v>2</v>
      </c>
    </row>
    <row r="125" spans="1:10" x14ac:dyDescent="0.25">
      <c r="A125" s="8">
        <v>34</v>
      </c>
      <c r="B125" s="5">
        <v>10</v>
      </c>
      <c r="C125" s="5">
        <v>8</v>
      </c>
      <c r="D125" s="5">
        <v>9</v>
      </c>
      <c r="E125" s="4">
        <v>1</v>
      </c>
      <c r="F125" s="4" t="s">
        <v>60</v>
      </c>
      <c r="G125" s="8">
        <v>0</v>
      </c>
      <c r="H125" s="8">
        <v>1</v>
      </c>
      <c r="I125" s="8">
        <v>-0.58346350283630388</v>
      </c>
      <c r="J125" s="10">
        <v>2</v>
      </c>
    </row>
    <row r="126" spans="1:10" x14ac:dyDescent="0.25">
      <c r="A126" s="8">
        <v>35</v>
      </c>
      <c r="B126" s="5">
        <v>11</v>
      </c>
      <c r="C126" s="5">
        <v>12</v>
      </c>
      <c r="D126" s="5">
        <v>4</v>
      </c>
      <c r="E126" s="4">
        <v>1</v>
      </c>
      <c r="F126" s="4" t="s">
        <v>60</v>
      </c>
      <c r="G126" s="8">
        <v>0</v>
      </c>
      <c r="H126" s="8">
        <v>1</v>
      </c>
      <c r="I126" s="8">
        <v>-0.13305662683047939</v>
      </c>
      <c r="J126" s="10">
        <v>3</v>
      </c>
    </row>
    <row r="127" spans="1:10" x14ac:dyDescent="0.25">
      <c r="A127" s="8">
        <v>36</v>
      </c>
      <c r="B127" s="5">
        <v>11</v>
      </c>
      <c r="C127" s="5">
        <v>11</v>
      </c>
      <c r="D127" s="5">
        <v>10</v>
      </c>
      <c r="E127" s="4">
        <v>1</v>
      </c>
      <c r="F127" s="4" t="s">
        <v>60</v>
      </c>
      <c r="G127" s="8">
        <v>1</v>
      </c>
      <c r="H127" s="8">
        <v>3</v>
      </c>
      <c r="I127" s="8">
        <v>0</v>
      </c>
      <c r="J127" s="10">
        <v>3</v>
      </c>
    </row>
    <row r="128" spans="1:10" x14ac:dyDescent="0.25">
      <c r="A128" s="8">
        <v>37</v>
      </c>
      <c r="B128" s="5">
        <v>9</v>
      </c>
      <c r="C128" s="5">
        <v>12</v>
      </c>
      <c r="D128" s="5">
        <v>1</v>
      </c>
      <c r="E128" s="4">
        <v>1</v>
      </c>
      <c r="F128" s="4" t="s">
        <v>60</v>
      </c>
      <c r="G128" s="8">
        <v>0</v>
      </c>
      <c r="H128" s="8">
        <v>0</v>
      </c>
      <c r="I128" s="8">
        <v>-0.25527250510330607</v>
      </c>
      <c r="J128" s="10">
        <v>3</v>
      </c>
    </row>
    <row r="129" spans="1:10" x14ac:dyDescent="0.25">
      <c r="A129" s="8">
        <v>38</v>
      </c>
      <c r="B129" s="5">
        <v>10</v>
      </c>
      <c r="C129" s="5">
        <v>8</v>
      </c>
      <c r="D129" s="5">
        <v>8</v>
      </c>
      <c r="E129" s="4">
        <v>1</v>
      </c>
      <c r="F129" s="4" t="s">
        <v>60</v>
      </c>
      <c r="G129" s="8">
        <v>0</v>
      </c>
      <c r="H129" s="8">
        <v>1</v>
      </c>
      <c r="I129" s="8">
        <v>6.0912359736537476E-2</v>
      </c>
      <c r="J129" s="10">
        <v>4</v>
      </c>
    </row>
    <row r="130" spans="1:10" x14ac:dyDescent="0.25">
      <c r="A130" s="8">
        <v>39</v>
      </c>
      <c r="B130" s="5">
        <v>6</v>
      </c>
      <c r="C130" s="5">
        <v>4</v>
      </c>
      <c r="D130" s="5">
        <v>3</v>
      </c>
      <c r="E130" s="4">
        <v>1</v>
      </c>
      <c r="F130" s="4" t="s">
        <v>60</v>
      </c>
      <c r="G130" s="8">
        <v>0</v>
      </c>
      <c r="H130" s="8">
        <v>1</v>
      </c>
      <c r="I130" s="8">
        <v>-2.5151229520959811E-2</v>
      </c>
      <c r="J130" s="10">
        <v>2</v>
      </c>
    </row>
    <row r="131" spans="1:10" x14ac:dyDescent="0.25">
      <c r="A131" s="8">
        <v>40</v>
      </c>
      <c r="B131" s="5">
        <v>10</v>
      </c>
      <c r="C131" s="5">
        <v>11</v>
      </c>
      <c r="D131" s="5">
        <v>6</v>
      </c>
      <c r="E131" s="4">
        <v>1</v>
      </c>
      <c r="F131" s="4" t="s">
        <v>60</v>
      </c>
      <c r="G131" s="8">
        <v>0</v>
      </c>
      <c r="H131" s="8">
        <v>1</v>
      </c>
      <c r="I131" s="8">
        <v>8.908467549609983E-2</v>
      </c>
      <c r="J131" s="10">
        <v>4</v>
      </c>
    </row>
    <row r="132" spans="1:10" x14ac:dyDescent="0.25">
      <c r="A132" s="8">
        <v>41</v>
      </c>
      <c r="B132" s="5">
        <v>11</v>
      </c>
      <c r="C132" s="5">
        <v>12</v>
      </c>
      <c r="D132" s="5">
        <v>5</v>
      </c>
      <c r="E132" s="4">
        <v>1</v>
      </c>
      <c r="F132" s="4" t="s">
        <v>60</v>
      </c>
      <c r="G132" s="8">
        <v>0</v>
      </c>
      <c r="H132" s="8">
        <v>1</v>
      </c>
      <c r="I132" s="8">
        <v>-0.13305662683047939</v>
      </c>
      <c r="J132" s="10">
        <v>4</v>
      </c>
    </row>
    <row r="133" spans="1:10" x14ac:dyDescent="0.25">
      <c r="A133" s="8">
        <v>42</v>
      </c>
      <c r="B133" s="5">
        <v>7</v>
      </c>
      <c r="C133" s="5">
        <v>10</v>
      </c>
      <c r="D133" s="5">
        <v>4</v>
      </c>
      <c r="E133" s="4">
        <v>1</v>
      </c>
      <c r="F133" s="4" t="s">
        <v>60</v>
      </c>
      <c r="G133" s="8">
        <v>0</v>
      </c>
      <c r="H133" s="8">
        <v>1</v>
      </c>
      <c r="I133" s="8">
        <v>-1.583463502836304</v>
      </c>
      <c r="J133" s="10">
        <v>3</v>
      </c>
    </row>
    <row r="134" spans="1:10" x14ac:dyDescent="0.25">
      <c r="A134" s="8">
        <v>43</v>
      </c>
      <c r="B134" s="5">
        <v>11</v>
      </c>
      <c r="C134" s="5">
        <v>13</v>
      </c>
      <c r="D134" s="5">
        <v>7</v>
      </c>
      <c r="E134" s="4">
        <v>1</v>
      </c>
      <c r="F134" s="4" t="s">
        <v>60</v>
      </c>
      <c r="G134" s="8">
        <v>0</v>
      </c>
      <c r="H134" s="8">
        <v>1</v>
      </c>
      <c r="I134" s="8">
        <v>-0.13305662683047939</v>
      </c>
      <c r="J134" s="10">
        <v>2</v>
      </c>
    </row>
    <row r="135" spans="1:10" x14ac:dyDescent="0.25">
      <c r="A135" s="8">
        <v>44</v>
      </c>
      <c r="B135" s="5">
        <v>10</v>
      </c>
      <c r="C135" s="5">
        <v>13</v>
      </c>
      <c r="D135" s="5">
        <v>2</v>
      </c>
      <c r="E135" s="4">
        <v>1</v>
      </c>
      <c r="F135" s="4" t="s">
        <v>60</v>
      </c>
      <c r="G135" s="8">
        <v>1</v>
      </c>
      <c r="H135" s="8">
        <v>3</v>
      </c>
      <c r="I135" s="8">
        <v>0</v>
      </c>
      <c r="J135" s="10">
        <v>3</v>
      </c>
    </row>
    <row r="136" spans="1:10" x14ac:dyDescent="0.25">
      <c r="A136" s="8">
        <v>45</v>
      </c>
      <c r="B136" s="5">
        <v>11</v>
      </c>
      <c r="C136" s="5">
        <v>11</v>
      </c>
      <c r="D136" s="5">
        <v>9</v>
      </c>
      <c r="E136" s="4">
        <v>1</v>
      </c>
      <c r="F136" s="4" t="s">
        <v>60</v>
      </c>
      <c r="G136" s="8">
        <v>0</v>
      </c>
      <c r="H136" s="8">
        <v>1</v>
      </c>
      <c r="I136" s="8">
        <v>-0.25527250510330607</v>
      </c>
      <c r="J136" s="10">
        <v>4</v>
      </c>
    </row>
    <row r="137" spans="1:10" x14ac:dyDescent="0.25">
      <c r="A137" s="8">
        <v>1</v>
      </c>
      <c r="B137" s="5">
        <v>11</v>
      </c>
      <c r="C137" s="5">
        <v>11</v>
      </c>
      <c r="D137" s="5">
        <v>2</v>
      </c>
      <c r="E137" s="4">
        <v>0</v>
      </c>
      <c r="F137" s="4" t="s">
        <v>60</v>
      </c>
      <c r="G137" s="8">
        <v>0</v>
      </c>
      <c r="H137" s="8">
        <v>1</v>
      </c>
      <c r="I137" s="8">
        <v>0.53991208457911788</v>
      </c>
      <c r="J137" s="12">
        <v>3</v>
      </c>
    </row>
    <row r="138" spans="1:10" x14ac:dyDescent="0.25">
      <c r="A138" s="8">
        <v>2</v>
      </c>
      <c r="B138" s="5">
        <v>10</v>
      </c>
      <c r="C138" s="5">
        <v>13</v>
      </c>
      <c r="D138" s="5">
        <v>2</v>
      </c>
      <c r="E138" s="4">
        <v>0</v>
      </c>
      <c r="F138" s="4" t="s">
        <v>60</v>
      </c>
      <c r="G138" s="8">
        <v>0</v>
      </c>
      <c r="H138" s="8">
        <v>1</v>
      </c>
      <c r="I138" s="8">
        <v>-1.0723865391773113E-2</v>
      </c>
      <c r="J138" s="12">
        <v>4</v>
      </c>
    </row>
    <row r="139" spans="1:10" x14ac:dyDescent="0.25">
      <c r="A139" s="8">
        <v>3</v>
      </c>
      <c r="B139" s="5">
        <v>10</v>
      </c>
      <c r="C139" s="5">
        <v>13</v>
      </c>
      <c r="D139" s="5">
        <v>1</v>
      </c>
      <c r="E139" s="4">
        <v>0</v>
      </c>
      <c r="F139" s="4" t="s">
        <v>60</v>
      </c>
      <c r="G139" s="8">
        <v>0</v>
      </c>
      <c r="H139" s="8">
        <v>1</v>
      </c>
      <c r="I139" s="8">
        <v>0.53991208457911788</v>
      </c>
      <c r="J139" s="12">
        <v>3</v>
      </c>
    </row>
    <row r="140" spans="1:10" x14ac:dyDescent="0.25">
      <c r="A140" s="8">
        <v>4</v>
      </c>
      <c r="B140" s="5">
        <v>11</v>
      </c>
      <c r="C140" s="5">
        <v>13</v>
      </c>
      <c r="D140" s="5">
        <v>1</v>
      </c>
      <c r="E140" s="4">
        <v>0</v>
      </c>
      <c r="F140" s="4" t="s">
        <v>60</v>
      </c>
      <c r="G140" s="8">
        <v>0</v>
      </c>
      <c r="H140" s="8">
        <v>1</v>
      </c>
      <c r="I140" s="8">
        <v>-1.0723865391773113E-2</v>
      </c>
      <c r="J140" s="12">
        <v>4</v>
      </c>
    </row>
    <row r="141" spans="1:10" x14ac:dyDescent="0.25">
      <c r="A141" s="8">
        <v>5</v>
      </c>
      <c r="B141" s="5">
        <v>6</v>
      </c>
      <c r="C141" s="5">
        <v>12</v>
      </c>
      <c r="D141" s="5">
        <v>3</v>
      </c>
      <c r="E141" s="4">
        <v>0</v>
      </c>
      <c r="F141" s="4" t="s">
        <v>60</v>
      </c>
      <c r="G141" s="8">
        <v>0</v>
      </c>
      <c r="H141" s="8">
        <v>1</v>
      </c>
      <c r="I141" s="8">
        <v>0.12493873660829993</v>
      </c>
      <c r="J141" s="12">
        <v>4</v>
      </c>
    </row>
    <row r="142" spans="1:10" x14ac:dyDescent="0.25">
      <c r="A142" s="8">
        <v>6</v>
      </c>
      <c r="B142" s="5">
        <v>10</v>
      </c>
      <c r="C142" s="5">
        <v>12</v>
      </c>
      <c r="D142" s="5">
        <v>3</v>
      </c>
      <c r="E142" s="4">
        <v>0</v>
      </c>
      <c r="F142" s="4" t="s">
        <v>60</v>
      </c>
      <c r="G142" s="8">
        <v>0</v>
      </c>
      <c r="H142" s="8">
        <v>1</v>
      </c>
      <c r="I142" s="8">
        <v>1.5121548798885645</v>
      </c>
      <c r="J142" s="12">
        <v>2</v>
      </c>
    </row>
    <row r="143" spans="1:10" x14ac:dyDescent="0.25">
      <c r="A143" s="8">
        <v>7</v>
      </c>
      <c r="B143" s="5">
        <v>11</v>
      </c>
      <c r="C143" s="5">
        <v>11</v>
      </c>
      <c r="D143" s="5">
        <v>7</v>
      </c>
      <c r="E143" s="4">
        <v>0</v>
      </c>
      <c r="F143" s="4" t="s">
        <v>60</v>
      </c>
      <c r="G143" s="8">
        <v>0</v>
      </c>
      <c r="H143" s="8">
        <v>1</v>
      </c>
      <c r="I143" s="8">
        <v>-0.98296666070121963</v>
      </c>
      <c r="J143" s="12">
        <v>4</v>
      </c>
    </row>
    <row r="144" spans="1:10" x14ac:dyDescent="0.25">
      <c r="A144" s="8">
        <v>8</v>
      </c>
      <c r="B144" s="5">
        <v>11</v>
      </c>
      <c r="C144" s="5">
        <v>11</v>
      </c>
      <c r="D144" s="5">
        <v>5</v>
      </c>
      <c r="E144" s="4">
        <v>0</v>
      </c>
      <c r="F144" s="4" t="s">
        <v>60</v>
      </c>
      <c r="G144" s="8">
        <v>1</v>
      </c>
      <c r="H144" s="8">
        <v>3</v>
      </c>
      <c r="I144" s="8">
        <v>0</v>
      </c>
      <c r="J144" s="12">
        <v>4</v>
      </c>
    </row>
    <row r="145" spans="1:10" x14ac:dyDescent="0.25">
      <c r="A145" s="8">
        <v>9</v>
      </c>
      <c r="B145" s="5">
        <v>11</v>
      </c>
      <c r="C145" s="5">
        <v>13</v>
      </c>
      <c r="D145" s="5">
        <v>8</v>
      </c>
      <c r="E145" s="4">
        <v>0</v>
      </c>
      <c r="F145" s="4" t="s">
        <v>60</v>
      </c>
      <c r="G145" s="8">
        <v>1</v>
      </c>
      <c r="H145" s="8">
        <v>3</v>
      </c>
      <c r="I145" s="8">
        <v>0</v>
      </c>
      <c r="J145" s="12">
        <v>3</v>
      </c>
    </row>
    <row r="146" spans="1:10" x14ac:dyDescent="0.25">
      <c r="A146" s="8">
        <v>10</v>
      </c>
      <c r="B146" s="5">
        <v>11</v>
      </c>
      <c r="C146" s="5">
        <v>13</v>
      </c>
      <c r="D146" s="5">
        <v>5</v>
      </c>
      <c r="E146" s="4">
        <v>0</v>
      </c>
      <c r="F146" s="4" t="s">
        <v>60</v>
      </c>
      <c r="G146" s="8">
        <v>1</v>
      </c>
      <c r="H146" s="8">
        <v>3</v>
      </c>
      <c r="I146" s="8">
        <v>0</v>
      </c>
      <c r="J146" s="12">
        <v>4</v>
      </c>
    </row>
    <row r="147" spans="1:10" x14ac:dyDescent="0.25">
      <c r="A147" s="8">
        <v>11</v>
      </c>
      <c r="B147" s="5">
        <v>11</v>
      </c>
      <c r="C147" s="5">
        <v>11</v>
      </c>
      <c r="D147" s="5">
        <v>10</v>
      </c>
      <c r="E147" s="4">
        <v>0</v>
      </c>
      <c r="F147" s="4" t="s">
        <v>60</v>
      </c>
      <c r="G147" s="8">
        <v>0</v>
      </c>
      <c r="H147" s="8">
        <v>1</v>
      </c>
      <c r="I147" s="8">
        <v>-0.9507819773298184</v>
      </c>
      <c r="J147" s="12">
        <v>3</v>
      </c>
    </row>
    <row r="148" spans="1:10" x14ac:dyDescent="0.25">
      <c r="A148" s="8">
        <v>12</v>
      </c>
      <c r="B148" s="5">
        <v>10</v>
      </c>
      <c r="C148" s="5">
        <v>11</v>
      </c>
      <c r="D148" s="5">
        <v>7</v>
      </c>
      <c r="E148" s="4">
        <v>0</v>
      </c>
      <c r="F148" s="4" t="s">
        <v>60</v>
      </c>
      <c r="G148" s="8">
        <v>0</v>
      </c>
      <c r="H148" s="8">
        <v>1</v>
      </c>
      <c r="I148" s="8">
        <v>1.5121548798885645</v>
      </c>
      <c r="J148" s="12">
        <v>3</v>
      </c>
    </row>
    <row r="149" spans="1:10" x14ac:dyDescent="0.25">
      <c r="A149" s="8">
        <v>13</v>
      </c>
      <c r="B149" s="5">
        <v>9</v>
      </c>
      <c r="C149" s="5">
        <v>13</v>
      </c>
      <c r="D149" s="5">
        <v>8</v>
      </c>
      <c r="E149" s="4">
        <v>0</v>
      </c>
      <c r="F149" s="4" t="s">
        <v>60</v>
      </c>
      <c r="G149" s="8">
        <v>0</v>
      </c>
      <c r="H149" s="8">
        <v>0</v>
      </c>
      <c r="I149" s="8">
        <v>-0.38090666937325729</v>
      </c>
      <c r="J149" s="12">
        <v>3</v>
      </c>
    </row>
    <row r="150" spans="1:10" x14ac:dyDescent="0.25">
      <c r="A150" s="8">
        <v>14</v>
      </c>
      <c r="B150" s="5">
        <v>10</v>
      </c>
      <c r="C150" s="5">
        <v>11</v>
      </c>
      <c r="D150" s="5">
        <v>9</v>
      </c>
      <c r="E150" s="4">
        <v>0</v>
      </c>
      <c r="F150" s="4" t="s">
        <v>60</v>
      </c>
      <c r="G150" s="8">
        <v>1</v>
      </c>
      <c r="H150" s="8">
        <v>3</v>
      </c>
      <c r="I150" s="8">
        <v>0</v>
      </c>
      <c r="J150" s="12">
        <v>2</v>
      </c>
    </row>
    <row r="151" spans="1:10" x14ac:dyDescent="0.25">
      <c r="A151" s="8">
        <v>15</v>
      </c>
      <c r="B151" s="5">
        <v>11</v>
      </c>
      <c r="C151" s="5">
        <v>13</v>
      </c>
      <c r="D151" s="5">
        <v>6</v>
      </c>
      <c r="E151" s="4">
        <v>0</v>
      </c>
      <c r="F151" s="4" t="s">
        <v>60</v>
      </c>
      <c r="G151" s="8">
        <v>1</v>
      </c>
      <c r="H151" s="8">
        <v>3</v>
      </c>
      <c r="I151" s="8">
        <v>0</v>
      </c>
      <c r="J151" s="12">
        <v>4</v>
      </c>
    </row>
    <row r="152" spans="1:10" x14ac:dyDescent="0.25">
      <c r="A152" s="8">
        <v>16</v>
      </c>
      <c r="B152" s="5">
        <v>10</v>
      </c>
      <c r="C152" s="5">
        <v>13</v>
      </c>
      <c r="D152" s="5">
        <v>10</v>
      </c>
      <c r="E152" s="4">
        <v>0</v>
      </c>
      <c r="F152" s="4" t="s">
        <v>60</v>
      </c>
      <c r="G152" s="8">
        <v>0</v>
      </c>
      <c r="H152" s="8">
        <v>1</v>
      </c>
      <c r="I152" s="8">
        <v>-1.0723865391773113E-2</v>
      </c>
      <c r="J152" s="12">
        <v>4</v>
      </c>
    </row>
    <row r="153" spans="1:10" x14ac:dyDescent="0.25">
      <c r="A153" s="8">
        <v>17</v>
      </c>
      <c r="B153" s="5">
        <v>10</v>
      </c>
      <c r="C153" s="5">
        <v>12</v>
      </c>
      <c r="D153" s="5">
        <v>4</v>
      </c>
      <c r="E153" s="4">
        <v>0</v>
      </c>
      <c r="F153" s="4" t="s">
        <v>60</v>
      </c>
      <c r="G153" s="8">
        <v>0</v>
      </c>
      <c r="H153" s="8">
        <v>0</v>
      </c>
      <c r="I153" s="8">
        <v>-0.13786862068696282</v>
      </c>
      <c r="J153" s="12">
        <v>1</v>
      </c>
    </row>
    <row r="154" spans="1:10" x14ac:dyDescent="0.25">
      <c r="A154" s="8">
        <v>18</v>
      </c>
      <c r="B154" s="5">
        <v>7</v>
      </c>
      <c r="C154" s="5">
        <v>11</v>
      </c>
      <c r="D154" s="5">
        <v>8</v>
      </c>
      <c r="E154" s="4">
        <v>0</v>
      </c>
      <c r="F154" s="4" t="s">
        <v>60</v>
      </c>
      <c r="G154" s="8">
        <v>0</v>
      </c>
      <c r="H154" s="8">
        <v>1</v>
      </c>
      <c r="I154" s="8">
        <v>1.5121548798885645</v>
      </c>
      <c r="J154" s="12">
        <v>1</v>
      </c>
    </row>
    <row r="155" spans="1:10" x14ac:dyDescent="0.25">
      <c r="A155" s="8">
        <v>19</v>
      </c>
      <c r="B155" s="5">
        <v>10</v>
      </c>
      <c r="C155" s="5">
        <v>9</v>
      </c>
      <c r="D155" s="5">
        <v>2</v>
      </c>
      <c r="E155" s="4">
        <v>0</v>
      </c>
      <c r="F155" s="4" t="s">
        <v>60</v>
      </c>
      <c r="G155" s="8">
        <v>0</v>
      </c>
      <c r="H155" s="8">
        <v>0</v>
      </c>
      <c r="I155" s="8">
        <v>0.21272015441784231</v>
      </c>
      <c r="J155" s="12">
        <v>1</v>
      </c>
    </row>
    <row r="156" spans="1:10" x14ac:dyDescent="0.25">
      <c r="A156" s="8">
        <v>20</v>
      </c>
      <c r="B156" s="5">
        <v>10</v>
      </c>
      <c r="C156" s="5">
        <v>10</v>
      </c>
      <c r="D156" s="5">
        <v>6</v>
      </c>
      <c r="E156" s="4">
        <v>0</v>
      </c>
      <c r="F156" s="4" t="s">
        <v>60</v>
      </c>
      <c r="G156" s="8">
        <v>1</v>
      </c>
      <c r="H156" s="8">
        <v>3</v>
      </c>
      <c r="I156" s="8">
        <v>0</v>
      </c>
      <c r="J156" s="12">
        <v>4</v>
      </c>
    </row>
    <row r="157" spans="1:10" x14ac:dyDescent="0.25">
      <c r="A157" s="8">
        <v>21</v>
      </c>
      <c r="B157" s="5">
        <v>11</v>
      </c>
      <c r="C157" s="5">
        <v>11</v>
      </c>
      <c r="D157" s="5">
        <v>1</v>
      </c>
      <c r="E157" s="4">
        <v>0</v>
      </c>
      <c r="F157" s="4" t="s">
        <v>60</v>
      </c>
      <c r="G157" s="8">
        <v>1</v>
      </c>
      <c r="H157" s="8">
        <v>3</v>
      </c>
      <c r="I157" s="8">
        <v>0</v>
      </c>
      <c r="J157" s="12">
        <v>4</v>
      </c>
    </row>
    <row r="158" spans="1:10" x14ac:dyDescent="0.25">
      <c r="A158" s="8">
        <v>22</v>
      </c>
      <c r="B158" s="5">
        <v>9</v>
      </c>
      <c r="C158" s="5">
        <v>8</v>
      </c>
      <c r="D158" s="5">
        <v>4</v>
      </c>
      <c r="E158" s="4">
        <v>0</v>
      </c>
      <c r="F158" s="4" t="s">
        <v>60</v>
      </c>
      <c r="G158" s="8">
        <v>0</v>
      </c>
      <c r="H158" s="8">
        <v>1</v>
      </c>
      <c r="I158" s="8">
        <v>-1.0723865391773113E-2</v>
      </c>
      <c r="J158" s="12">
        <v>4</v>
      </c>
    </row>
    <row r="159" spans="1:10" x14ac:dyDescent="0.25">
      <c r="A159" s="8">
        <v>23</v>
      </c>
      <c r="B159" s="5">
        <v>7</v>
      </c>
      <c r="C159" s="5">
        <v>10</v>
      </c>
      <c r="D159" s="5">
        <v>3</v>
      </c>
      <c r="E159" s="4">
        <v>0</v>
      </c>
      <c r="F159" s="4" t="s">
        <v>60</v>
      </c>
      <c r="G159" s="8">
        <v>0</v>
      </c>
      <c r="H159" s="8">
        <v>1</v>
      </c>
      <c r="I159" s="8">
        <v>-1.0969100130080565</v>
      </c>
      <c r="J159" s="12">
        <v>3</v>
      </c>
    </row>
    <row r="160" spans="1:10" x14ac:dyDescent="0.25">
      <c r="A160" s="8">
        <v>24</v>
      </c>
      <c r="B160" s="5">
        <v>10</v>
      </c>
      <c r="C160" s="5">
        <v>12</v>
      </c>
      <c r="D160" s="5">
        <v>5</v>
      </c>
      <c r="E160" s="4">
        <v>0</v>
      </c>
      <c r="F160" s="4" t="s">
        <v>60</v>
      </c>
      <c r="G160" s="8">
        <v>0</v>
      </c>
      <c r="H160" s="8">
        <v>0</v>
      </c>
      <c r="I160" s="8">
        <v>-0.31875876262441277</v>
      </c>
      <c r="J160" s="12">
        <v>4</v>
      </c>
    </row>
    <row r="161" spans="1:10" x14ac:dyDescent="0.25">
      <c r="A161" s="8">
        <v>25</v>
      </c>
      <c r="B161" s="5">
        <v>11</v>
      </c>
      <c r="C161" s="5">
        <v>9</v>
      </c>
      <c r="D161" s="5">
        <v>7</v>
      </c>
      <c r="E161" s="4">
        <v>0</v>
      </c>
      <c r="F161" s="4" t="s">
        <v>60</v>
      </c>
      <c r="G161" s="8">
        <v>0</v>
      </c>
      <c r="H161" s="8">
        <v>1</v>
      </c>
      <c r="I161" s="8">
        <v>-0.98296666070121963</v>
      </c>
      <c r="J161" s="12">
        <v>4</v>
      </c>
    </row>
    <row r="162" spans="1:10" x14ac:dyDescent="0.25">
      <c r="A162" s="8">
        <v>26</v>
      </c>
      <c r="B162" s="5">
        <v>8</v>
      </c>
      <c r="C162" s="5">
        <v>12</v>
      </c>
      <c r="D162" s="5">
        <v>2</v>
      </c>
      <c r="E162" s="4">
        <v>0</v>
      </c>
      <c r="F162" s="4" t="s">
        <v>60</v>
      </c>
      <c r="G162" s="8">
        <v>0</v>
      </c>
      <c r="H162" s="8">
        <v>1</v>
      </c>
      <c r="I162" s="8">
        <v>1.5121548798885645</v>
      </c>
      <c r="J162" s="12">
        <v>2</v>
      </c>
    </row>
    <row r="163" spans="1:10" x14ac:dyDescent="0.25">
      <c r="A163" s="8">
        <v>27</v>
      </c>
      <c r="B163" s="5">
        <v>9</v>
      </c>
      <c r="C163" s="5">
        <v>10</v>
      </c>
      <c r="D163" s="5">
        <v>9</v>
      </c>
      <c r="E163" s="4">
        <v>0</v>
      </c>
      <c r="F163" s="4" t="s">
        <v>60</v>
      </c>
      <c r="G163" s="8">
        <v>0</v>
      </c>
      <c r="H163" s="8">
        <v>0</v>
      </c>
      <c r="I163" s="8">
        <v>-0.9507819773298184</v>
      </c>
      <c r="J163" s="12">
        <v>3</v>
      </c>
    </row>
    <row r="164" spans="1:10" x14ac:dyDescent="0.25">
      <c r="A164" s="8">
        <v>28</v>
      </c>
      <c r="B164" s="5">
        <v>6</v>
      </c>
      <c r="C164" s="5">
        <v>9</v>
      </c>
      <c r="D164" s="5">
        <v>1</v>
      </c>
      <c r="E164" s="4">
        <v>0</v>
      </c>
      <c r="F164" s="4" t="s">
        <v>60</v>
      </c>
      <c r="G164" s="8">
        <v>0</v>
      </c>
      <c r="H164" s="8">
        <v>0</v>
      </c>
      <c r="I164" s="8">
        <v>2.3395241529423898</v>
      </c>
      <c r="J164" s="12">
        <v>2</v>
      </c>
    </row>
    <row r="165" spans="1:10" x14ac:dyDescent="0.25">
      <c r="A165" s="8">
        <v>29</v>
      </c>
      <c r="B165" s="5">
        <v>11</v>
      </c>
      <c r="C165" s="5">
        <v>12</v>
      </c>
      <c r="D165" s="5">
        <v>10</v>
      </c>
      <c r="E165" s="4">
        <v>0</v>
      </c>
      <c r="F165" s="4" t="s">
        <v>60</v>
      </c>
      <c r="G165" s="8">
        <v>0</v>
      </c>
      <c r="H165" s="8">
        <v>1</v>
      </c>
      <c r="I165" s="8">
        <v>0.53991208457911788</v>
      </c>
      <c r="J165" s="12">
        <v>3</v>
      </c>
    </row>
    <row r="166" spans="1:10" x14ac:dyDescent="0.25">
      <c r="A166" s="8">
        <v>30</v>
      </c>
      <c r="B166" s="5">
        <v>7</v>
      </c>
      <c r="C166" s="5">
        <v>6</v>
      </c>
      <c r="D166" s="5">
        <v>3</v>
      </c>
      <c r="E166" s="4">
        <v>0</v>
      </c>
      <c r="F166" s="4" t="s">
        <v>60</v>
      </c>
      <c r="G166" s="8">
        <v>0</v>
      </c>
      <c r="H166" s="8">
        <v>0</v>
      </c>
      <c r="I166" s="8">
        <v>1.5121548798885645</v>
      </c>
      <c r="J166" s="12">
        <v>1</v>
      </c>
    </row>
    <row r="167" spans="1:10" x14ac:dyDescent="0.25">
      <c r="A167" s="8">
        <v>31</v>
      </c>
      <c r="B167" s="5">
        <v>11</v>
      </c>
      <c r="C167" s="5">
        <v>11</v>
      </c>
      <c r="D167" s="5">
        <v>8</v>
      </c>
      <c r="E167" s="4">
        <v>0</v>
      </c>
      <c r="F167" s="4" t="s">
        <v>60</v>
      </c>
      <c r="G167" s="8">
        <v>0</v>
      </c>
      <c r="H167" s="8">
        <v>1</v>
      </c>
      <c r="I167" s="8">
        <v>-0.98296666070121963</v>
      </c>
      <c r="J167" s="12">
        <v>4</v>
      </c>
    </row>
    <row r="168" spans="1:10" x14ac:dyDescent="0.25">
      <c r="A168" s="8">
        <v>32</v>
      </c>
      <c r="B168" s="5">
        <v>9</v>
      </c>
      <c r="C168" s="5">
        <v>12</v>
      </c>
      <c r="D168" s="5">
        <v>5</v>
      </c>
      <c r="E168" s="4">
        <v>0</v>
      </c>
      <c r="F168" s="4" t="s">
        <v>60</v>
      </c>
      <c r="G168" s="8">
        <v>0</v>
      </c>
      <c r="H168" s="8">
        <v>1</v>
      </c>
      <c r="I168" s="8">
        <v>0.98927613460822683</v>
      </c>
      <c r="J168" s="12">
        <v>2</v>
      </c>
    </row>
    <row r="169" spans="1:10" x14ac:dyDescent="0.25">
      <c r="A169" s="8">
        <v>33</v>
      </c>
      <c r="B169" s="5">
        <v>10</v>
      </c>
      <c r="C169" s="5">
        <v>11</v>
      </c>
      <c r="D169" s="5">
        <v>6</v>
      </c>
      <c r="E169" s="4">
        <v>0</v>
      </c>
      <c r="F169" s="4" t="s">
        <v>60</v>
      </c>
      <c r="G169" s="8">
        <v>0</v>
      </c>
      <c r="H169" s="8">
        <v>0</v>
      </c>
      <c r="I169" s="8">
        <v>-1.7958800173440752</v>
      </c>
      <c r="J169" s="12">
        <v>2</v>
      </c>
    </row>
    <row r="170" spans="1:10" x14ac:dyDescent="0.25">
      <c r="A170" s="8">
        <v>34</v>
      </c>
      <c r="B170" s="5">
        <v>10</v>
      </c>
      <c r="C170" s="5">
        <v>8</v>
      </c>
      <c r="D170" s="5">
        <v>7</v>
      </c>
      <c r="E170" s="4">
        <v>0</v>
      </c>
      <c r="F170" s="4" t="s">
        <v>60</v>
      </c>
      <c r="G170" s="8">
        <v>0</v>
      </c>
      <c r="H170" s="8">
        <v>1</v>
      </c>
      <c r="I170" s="8">
        <v>-1.0723865391773113E-2</v>
      </c>
      <c r="J170" s="12">
        <v>3</v>
      </c>
    </row>
    <row r="171" spans="1:10" x14ac:dyDescent="0.25">
      <c r="A171" s="8">
        <v>35</v>
      </c>
      <c r="B171" s="5">
        <v>11</v>
      </c>
      <c r="C171" s="5">
        <v>12</v>
      </c>
      <c r="D171" s="5">
        <v>4</v>
      </c>
      <c r="E171" s="4">
        <v>0</v>
      </c>
      <c r="F171" s="4" t="s">
        <v>60</v>
      </c>
      <c r="G171" s="8">
        <v>0</v>
      </c>
      <c r="H171" s="8">
        <v>1</v>
      </c>
      <c r="I171" s="8">
        <v>-0.98296666070121963</v>
      </c>
      <c r="J171" s="12">
        <v>3</v>
      </c>
    </row>
    <row r="172" spans="1:10" x14ac:dyDescent="0.25">
      <c r="A172" s="8">
        <v>36</v>
      </c>
      <c r="B172" s="5">
        <v>11</v>
      </c>
      <c r="C172" s="5">
        <v>11</v>
      </c>
      <c r="D172" s="5">
        <v>9</v>
      </c>
      <c r="E172" s="4">
        <v>0</v>
      </c>
      <c r="F172" s="4" t="s">
        <v>60</v>
      </c>
      <c r="G172" s="8">
        <v>1</v>
      </c>
      <c r="H172" s="8">
        <v>3</v>
      </c>
      <c r="I172" s="8">
        <v>0</v>
      </c>
      <c r="J172" s="12">
        <v>3</v>
      </c>
    </row>
    <row r="173" spans="1:10" x14ac:dyDescent="0.25">
      <c r="A173" s="8">
        <v>37</v>
      </c>
      <c r="B173" s="5">
        <v>9</v>
      </c>
      <c r="C173" s="5">
        <v>12</v>
      </c>
      <c r="D173" s="5">
        <v>2</v>
      </c>
      <c r="E173" s="4">
        <v>0</v>
      </c>
      <c r="F173" s="4" t="s">
        <v>60</v>
      </c>
      <c r="G173" s="8">
        <v>0</v>
      </c>
      <c r="H173" s="8">
        <v>1</v>
      </c>
      <c r="I173" s="8">
        <v>-0.98296666070121963</v>
      </c>
      <c r="J173" s="12">
        <v>1</v>
      </c>
    </row>
    <row r="174" spans="1:10" x14ac:dyDescent="0.25">
      <c r="A174" s="8">
        <v>38</v>
      </c>
      <c r="B174" s="5">
        <v>10</v>
      </c>
      <c r="C174" s="5">
        <v>8</v>
      </c>
      <c r="D174" s="5">
        <v>10</v>
      </c>
      <c r="E174" s="4">
        <v>0</v>
      </c>
      <c r="F174" s="4" t="s">
        <v>60</v>
      </c>
      <c r="G174" s="8">
        <v>0</v>
      </c>
      <c r="H174" s="8">
        <v>1</v>
      </c>
      <c r="I174" s="8">
        <v>1.5121548798885645</v>
      </c>
      <c r="J174" s="12">
        <v>4</v>
      </c>
    </row>
    <row r="175" spans="1:10" x14ac:dyDescent="0.25">
      <c r="A175" s="8">
        <v>39</v>
      </c>
      <c r="B175" s="5">
        <v>6</v>
      </c>
      <c r="C175" s="5">
        <v>4</v>
      </c>
      <c r="D175" s="5">
        <v>1</v>
      </c>
      <c r="E175" s="4">
        <v>0</v>
      </c>
      <c r="F175" s="4" t="s">
        <v>60</v>
      </c>
      <c r="G175" s="8">
        <v>0</v>
      </c>
      <c r="H175" s="8">
        <v>0</v>
      </c>
      <c r="I175" s="8">
        <v>-0.92081875395237522</v>
      </c>
      <c r="J175" s="12">
        <v>2</v>
      </c>
    </row>
    <row r="176" spans="1:10" x14ac:dyDescent="0.25">
      <c r="A176" s="8">
        <v>40</v>
      </c>
      <c r="B176" s="5">
        <v>10</v>
      </c>
      <c r="C176" s="5">
        <v>11</v>
      </c>
      <c r="D176" s="5">
        <v>8</v>
      </c>
      <c r="E176" s="4">
        <v>0</v>
      </c>
      <c r="F176" s="4" t="s">
        <v>60</v>
      </c>
      <c r="G176" s="8">
        <v>1</v>
      </c>
      <c r="H176" s="8">
        <v>3</v>
      </c>
      <c r="I176" s="8">
        <v>0</v>
      </c>
      <c r="J176" s="12">
        <v>4</v>
      </c>
    </row>
    <row r="177" spans="1:10" x14ac:dyDescent="0.25">
      <c r="A177" s="8">
        <v>41</v>
      </c>
      <c r="B177" s="5">
        <v>11</v>
      </c>
      <c r="C177" s="5">
        <v>12</v>
      </c>
      <c r="D177" s="5">
        <v>3</v>
      </c>
      <c r="E177" s="4">
        <v>0</v>
      </c>
      <c r="F177" s="4" t="s">
        <v>60</v>
      </c>
      <c r="G177" s="8">
        <v>0</v>
      </c>
      <c r="H177" s="8">
        <v>1</v>
      </c>
      <c r="I177" s="8">
        <v>-0.98296666070121963</v>
      </c>
      <c r="J177" s="12">
        <v>3</v>
      </c>
    </row>
    <row r="178" spans="1:10" x14ac:dyDescent="0.25">
      <c r="A178" s="8">
        <v>42</v>
      </c>
      <c r="B178" s="5">
        <v>7</v>
      </c>
      <c r="C178" s="5">
        <v>10</v>
      </c>
      <c r="D178" s="5">
        <v>6</v>
      </c>
      <c r="E178" s="4">
        <v>0</v>
      </c>
      <c r="F178" s="4" t="s">
        <v>60</v>
      </c>
      <c r="G178" s="8">
        <v>0</v>
      </c>
      <c r="H178" s="8">
        <v>1</v>
      </c>
      <c r="I178" s="8">
        <v>-1.0723865391773113E-2</v>
      </c>
      <c r="J178" s="12">
        <v>3</v>
      </c>
    </row>
    <row r="179" spans="1:10" x14ac:dyDescent="0.25">
      <c r="A179" s="8">
        <v>43</v>
      </c>
      <c r="B179" s="5">
        <v>11</v>
      </c>
      <c r="C179" s="5">
        <v>13</v>
      </c>
      <c r="D179" s="5">
        <v>5</v>
      </c>
      <c r="E179" s="4">
        <v>0</v>
      </c>
      <c r="F179" s="4" t="s">
        <v>60</v>
      </c>
      <c r="G179" s="8">
        <v>1</v>
      </c>
      <c r="H179" s="8">
        <v>3</v>
      </c>
      <c r="I179" s="8">
        <v>0</v>
      </c>
      <c r="J179" s="12">
        <v>2</v>
      </c>
    </row>
    <row r="180" spans="1:10" x14ac:dyDescent="0.25">
      <c r="A180" s="8">
        <v>44</v>
      </c>
      <c r="B180" s="5">
        <v>10</v>
      </c>
      <c r="C180" s="5">
        <v>13</v>
      </c>
      <c r="D180" s="5">
        <v>4</v>
      </c>
      <c r="E180" s="4">
        <v>0</v>
      </c>
      <c r="F180" s="4" t="s">
        <v>60</v>
      </c>
      <c r="G180" s="8">
        <v>1</v>
      </c>
      <c r="H180" s="8">
        <v>3</v>
      </c>
      <c r="I180" s="8">
        <v>0</v>
      </c>
      <c r="J180" s="12">
        <v>3</v>
      </c>
    </row>
    <row r="181" spans="1:10" x14ac:dyDescent="0.25">
      <c r="A181" s="8">
        <v>45</v>
      </c>
      <c r="B181" s="5">
        <v>11</v>
      </c>
      <c r="C181" s="5">
        <v>11</v>
      </c>
      <c r="D181" s="5">
        <v>7</v>
      </c>
      <c r="E181" s="4">
        <v>0</v>
      </c>
      <c r="F181" s="4" t="s">
        <v>60</v>
      </c>
      <c r="G181" s="8">
        <v>0</v>
      </c>
      <c r="H181" s="8">
        <v>1</v>
      </c>
      <c r="I181" s="8">
        <v>-1.0969100130080565</v>
      </c>
      <c r="J181" s="12">
        <v>4</v>
      </c>
    </row>
    <row r="182" spans="1:10" x14ac:dyDescent="0.25">
      <c r="A182" s="8">
        <v>1</v>
      </c>
      <c r="B182" s="5">
        <v>11</v>
      </c>
      <c r="C182" s="5">
        <v>11</v>
      </c>
      <c r="D182" s="5">
        <v>9</v>
      </c>
      <c r="E182" s="4">
        <v>1</v>
      </c>
      <c r="F182" s="4" t="s">
        <v>50</v>
      </c>
      <c r="G182" s="8">
        <v>0</v>
      </c>
      <c r="H182" s="8">
        <v>1</v>
      </c>
      <c r="I182" s="8">
        <v>-0.17609125905568127</v>
      </c>
      <c r="J182" s="10">
        <v>4</v>
      </c>
    </row>
    <row r="183" spans="1:10" x14ac:dyDescent="0.25">
      <c r="A183" s="8">
        <v>2</v>
      </c>
      <c r="B183" s="5">
        <v>10</v>
      </c>
      <c r="C183" s="5">
        <v>13</v>
      </c>
      <c r="D183" s="5">
        <v>9</v>
      </c>
      <c r="E183" s="4">
        <v>1</v>
      </c>
      <c r="F183" s="4" t="s">
        <v>50</v>
      </c>
      <c r="G183" s="8">
        <v>0</v>
      </c>
      <c r="H183" s="8">
        <v>1</v>
      </c>
      <c r="I183" s="8">
        <v>0.16161854630793135</v>
      </c>
      <c r="J183" s="10">
        <v>3</v>
      </c>
    </row>
    <row r="184" spans="1:10" x14ac:dyDescent="0.25">
      <c r="A184" s="8">
        <v>3</v>
      </c>
      <c r="B184" s="5">
        <v>10</v>
      </c>
      <c r="C184" s="5">
        <v>13</v>
      </c>
      <c r="D184" s="5">
        <v>10</v>
      </c>
      <c r="E184" s="4">
        <v>1</v>
      </c>
      <c r="F184" s="4" t="s">
        <v>50</v>
      </c>
      <c r="G184" s="8">
        <v>1</v>
      </c>
      <c r="H184" s="8">
        <v>3</v>
      </c>
      <c r="I184" s="8">
        <v>0</v>
      </c>
      <c r="J184" s="10">
        <v>4</v>
      </c>
    </row>
    <row r="185" spans="1:10" x14ac:dyDescent="0.25">
      <c r="A185" s="8">
        <v>4</v>
      </c>
      <c r="B185" s="5">
        <v>11</v>
      </c>
      <c r="C185" s="5">
        <v>13</v>
      </c>
      <c r="D185" s="5">
        <v>10</v>
      </c>
      <c r="E185" s="4">
        <v>1</v>
      </c>
      <c r="F185" s="4" t="s">
        <v>50</v>
      </c>
      <c r="G185" s="8">
        <v>1</v>
      </c>
      <c r="H185" s="8">
        <v>3</v>
      </c>
      <c r="I185" s="8">
        <v>0</v>
      </c>
      <c r="J185" s="10">
        <v>4</v>
      </c>
    </row>
    <row r="186" spans="1:10" x14ac:dyDescent="0.25">
      <c r="A186" s="8">
        <v>5</v>
      </c>
      <c r="B186" s="5">
        <v>6</v>
      </c>
      <c r="C186" s="5">
        <v>12</v>
      </c>
      <c r="D186" s="5">
        <v>8</v>
      </c>
      <c r="E186" s="4">
        <v>1</v>
      </c>
      <c r="F186" s="4" t="s">
        <v>50</v>
      </c>
      <c r="G186" s="8">
        <v>1</v>
      </c>
      <c r="H186" s="8">
        <v>3</v>
      </c>
      <c r="I186" s="8">
        <v>0</v>
      </c>
      <c r="J186" s="10">
        <v>4</v>
      </c>
    </row>
    <row r="187" spans="1:10" x14ac:dyDescent="0.25">
      <c r="A187" s="8">
        <v>6</v>
      </c>
      <c r="B187" s="5">
        <v>10</v>
      </c>
      <c r="C187" s="5">
        <v>12</v>
      </c>
      <c r="D187" s="5">
        <v>8</v>
      </c>
      <c r="E187" s="4">
        <v>1</v>
      </c>
      <c r="F187" s="4" t="s">
        <v>50</v>
      </c>
      <c r="G187" s="8">
        <v>0</v>
      </c>
      <c r="H187" s="8">
        <v>1</v>
      </c>
      <c r="I187" s="8">
        <v>0.16161854630793135</v>
      </c>
      <c r="J187" s="10">
        <v>3</v>
      </c>
    </row>
    <row r="188" spans="1:10" x14ac:dyDescent="0.25">
      <c r="A188" s="8">
        <v>7</v>
      </c>
      <c r="B188" s="5">
        <v>11</v>
      </c>
      <c r="C188" s="5">
        <v>11</v>
      </c>
      <c r="D188" s="5">
        <v>4</v>
      </c>
      <c r="E188" s="4">
        <v>1</v>
      </c>
      <c r="F188" s="4" t="s">
        <v>50</v>
      </c>
      <c r="G188" s="8">
        <v>0</v>
      </c>
      <c r="H188" s="8">
        <v>1</v>
      </c>
      <c r="I188" s="8">
        <v>-0.17609125905568127</v>
      </c>
      <c r="J188" s="10">
        <v>3</v>
      </c>
    </row>
    <row r="189" spans="1:10" x14ac:dyDescent="0.25">
      <c r="A189" s="8">
        <v>8</v>
      </c>
      <c r="B189" s="5">
        <v>11</v>
      </c>
      <c r="C189" s="5">
        <v>11</v>
      </c>
      <c r="D189" s="5">
        <v>6</v>
      </c>
      <c r="E189" s="4">
        <v>1</v>
      </c>
      <c r="F189" s="4" t="s">
        <v>50</v>
      </c>
      <c r="G189" s="8">
        <v>1</v>
      </c>
      <c r="H189" s="8">
        <v>3</v>
      </c>
      <c r="I189" s="8">
        <v>0</v>
      </c>
      <c r="J189" s="10">
        <v>4</v>
      </c>
    </row>
    <row r="190" spans="1:10" x14ac:dyDescent="0.25">
      <c r="A190" s="8">
        <v>9</v>
      </c>
      <c r="B190" s="5">
        <v>11</v>
      </c>
      <c r="C190" s="5">
        <v>13</v>
      </c>
      <c r="D190" s="5">
        <v>3</v>
      </c>
      <c r="E190" s="4">
        <v>1</v>
      </c>
      <c r="F190" s="4" t="s">
        <v>50</v>
      </c>
      <c r="G190" s="8">
        <v>1</v>
      </c>
      <c r="H190" s="8">
        <v>3</v>
      </c>
      <c r="I190" s="8">
        <v>0</v>
      </c>
      <c r="J190" s="10">
        <v>3</v>
      </c>
    </row>
    <row r="191" spans="1:10" x14ac:dyDescent="0.25">
      <c r="A191" s="8">
        <v>10</v>
      </c>
      <c r="B191" s="5">
        <v>11</v>
      </c>
      <c r="C191" s="5">
        <v>13</v>
      </c>
      <c r="D191" s="5">
        <v>6</v>
      </c>
      <c r="E191" s="4">
        <v>1</v>
      </c>
      <c r="F191" s="4" t="s">
        <v>50</v>
      </c>
      <c r="G191" s="8">
        <v>0</v>
      </c>
      <c r="H191" s="8">
        <v>1</v>
      </c>
      <c r="I191" s="8">
        <v>0.16161854630793135</v>
      </c>
      <c r="J191" s="10">
        <v>4</v>
      </c>
    </row>
    <row r="192" spans="1:10" x14ac:dyDescent="0.25">
      <c r="A192" s="8">
        <v>11</v>
      </c>
      <c r="B192" s="5">
        <v>11</v>
      </c>
      <c r="C192" s="5">
        <v>11</v>
      </c>
      <c r="D192" s="5">
        <v>1</v>
      </c>
      <c r="E192" s="4">
        <v>1</v>
      </c>
      <c r="F192" s="4" t="s">
        <v>50</v>
      </c>
      <c r="G192" s="8">
        <v>0</v>
      </c>
      <c r="H192" s="8">
        <v>1</v>
      </c>
      <c r="I192" s="8">
        <v>-0.17609125905568127</v>
      </c>
      <c r="J192" s="10">
        <v>3</v>
      </c>
    </row>
    <row r="193" spans="1:10" x14ac:dyDescent="0.25">
      <c r="A193" s="8">
        <v>12</v>
      </c>
      <c r="B193" s="5">
        <v>10</v>
      </c>
      <c r="C193" s="5">
        <v>11</v>
      </c>
      <c r="D193" s="5">
        <v>4</v>
      </c>
      <c r="E193" s="4">
        <v>1</v>
      </c>
      <c r="F193" s="4" t="s">
        <v>50</v>
      </c>
      <c r="G193" s="8">
        <v>0</v>
      </c>
      <c r="H193" s="8">
        <v>1</v>
      </c>
      <c r="I193" s="8">
        <v>0.16161854630793135</v>
      </c>
      <c r="J193" s="10">
        <v>4</v>
      </c>
    </row>
    <row r="194" spans="1:10" x14ac:dyDescent="0.25">
      <c r="A194" s="8">
        <v>13</v>
      </c>
      <c r="B194" s="5">
        <v>9</v>
      </c>
      <c r="C194" s="5">
        <v>13</v>
      </c>
      <c r="D194" s="5">
        <v>3</v>
      </c>
      <c r="E194" s="4">
        <v>1</v>
      </c>
      <c r="F194" s="4" t="s">
        <v>50</v>
      </c>
      <c r="G194" s="8">
        <v>0</v>
      </c>
      <c r="H194" s="8">
        <v>0</v>
      </c>
      <c r="I194" s="8">
        <v>1.7546031286088541</v>
      </c>
      <c r="J194" s="10">
        <v>3</v>
      </c>
    </row>
    <row r="195" spans="1:10" x14ac:dyDescent="0.25">
      <c r="A195" s="8">
        <v>14</v>
      </c>
      <c r="B195" s="5">
        <v>10</v>
      </c>
      <c r="C195" s="5">
        <v>11</v>
      </c>
      <c r="D195" s="5">
        <v>2</v>
      </c>
      <c r="E195" s="4">
        <v>1</v>
      </c>
      <c r="F195" s="4" t="s">
        <v>50</v>
      </c>
      <c r="G195" s="8">
        <v>1</v>
      </c>
      <c r="H195" s="8">
        <v>3</v>
      </c>
      <c r="I195" s="8">
        <v>0</v>
      </c>
      <c r="J195" s="10">
        <v>3</v>
      </c>
    </row>
    <row r="196" spans="1:10" x14ac:dyDescent="0.25">
      <c r="A196" s="8">
        <v>15</v>
      </c>
      <c r="B196" s="5">
        <v>11</v>
      </c>
      <c r="C196" s="5">
        <v>13</v>
      </c>
      <c r="D196" s="5">
        <v>5</v>
      </c>
      <c r="E196" s="4">
        <v>1</v>
      </c>
      <c r="F196" s="4" t="s">
        <v>50</v>
      </c>
      <c r="G196" s="8">
        <v>1</v>
      </c>
      <c r="H196" s="8">
        <v>3</v>
      </c>
      <c r="I196" s="8">
        <v>0</v>
      </c>
      <c r="J196" s="10">
        <v>4</v>
      </c>
    </row>
    <row r="197" spans="1:10" x14ac:dyDescent="0.25">
      <c r="A197" s="8">
        <v>16</v>
      </c>
      <c r="B197" s="5">
        <v>10</v>
      </c>
      <c r="C197" s="5">
        <v>13</v>
      </c>
      <c r="D197" s="5">
        <v>1</v>
      </c>
      <c r="E197" s="4">
        <v>1</v>
      </c>
      <c r="F197" s="4" t="s">
        <v>50</v>
      </c>
      <c r="G197" s="8">
        <v>0</v>
      </c>
      <c r="H197" s="8">
        <v>1</v>
      </c>
      <c r="I197" s="8">
        <v>-0.51616215895814932</v>
      </c>
      <c r="J197" s="10">
        <v>2</v>
      </c>
    </row>
    <row r="198" spans="1:10" x14ac:dyDescent="0.25">
      <c r="A198" s="8">
        <v>17</v>
      </c>
      <c r="B198" s="5">
        <v>10</v>
      </c>
      <c r="C198" s="5">
        <v>12</v>
      </c>
      <c r="D198" s="5">
        <v>7</v>
      </c>
      <c r="E198" s="4">
        <v>1</v>
      </c>
      <c r="F198" s="4" t="s">
        <v>50</v>
      </c>
      <c r="G198" s="8">
        <v>0</v>
      </c>
      <c r="H198" s="8">
        <v>0</v>
      </c>
      <c r="I198" s="8">
        <v>1.762803558542489</v>
      </c>
      <c r="J198" s="10">
        <v>4</v>
      </c>
    </row>
    <row r="199" spans="1:10" x14ac:dyDescent="0.25">
      <c r="A199" s="8">
        <v>18</v>
      </c>
      <c r="B199" s="5">
        <v>7</v>
      </c>
      <c r="C199" s="5">
        <v>11</v>
      </c>
      <c r="D199" s="5">
        <v>3</v>
      </c>
      <c r="E199" s="4">
        <v>1</v>
      </c>
      <c r="F199" s="4" t="s">
        <v>50</v>
      </c>
      <c r="G199" s="8">
        <v>0</v>
      </c>
      <c r="H199" s="8">
        <v>1</v>
      </c>
      <c r="I199" s="8">
        <v>0.16161854630793135</v>
      </c>
      <c r="J199" s="10">
        <v>1</v>
      </c>
    </row>
    <row r="200" spans="1:10" x14ac:dyDescent="0.25">
      <c r="A200" s="8">
        <v>19</v>
      </c>
      <c r="B200" s="5">
        <v>10</v>
      </c>
      <c r="C200" s="5">
        <v>9</v>
      </c>
      <c r="D200" s="5">
        <v>9</v>
      </c>
      <c r="E200" s="4">
        <v>1</v>
      </c>
      <c r="F200" s="4" t="s">
        <v>50</v>
      </c>
      <c r="G200" s="8">
        <v>0</v>
      </c>
      <c r="H200" s="8">
        <v>1</v>
      </c>
      <c r="I200" s="8">
        <v>-0.17609125905568127</v>
      </c>
      <c r="J200" s="10">
        <v>4</v>
      </c>
    </row>
    <row r="201" spans="1:10" x14ac:dyDescent="0.25">
      <c r="A201" s="8">
        <v>20</v>
      </c>
      <c r="B201" s="5">
        <v>10</v>
      </c>
      <c r="C201" s="5">
        <v>10</v>
      </c>
      <c r="D201" s="5">
        <v>5</v>
      </c>
      <c r="E201" s="4">
        <v>1</v>
      </c>
      <c r="F201" s="4" t="s">
        <v>50</v>
      </c>
      <c r="G201" s="8">
        <v>1</v>
      </c>
      <c r="H201" s="8">
        <v>3</v>
      </c>
      <c r="I201" s="8">
        <v>0</v>
      </c>
      <c r="J201" s="10">
        <v>4</v>
      </c>
    </row>
    <row r="202" spans="1:10" x14ac:dyDescent="0.25">
      <c r="A202" s="8">
        <v>21</v>
      </c>
      <c r="B202" s="5">
        <v>11</v>
      </c>
      <c r="C202" s="5">
        <v>11</v>
      </c>
      <c r="D202" s="5">
        <v>10</v>
      </c>
      <c r="E202" s="4">
        <v>1</v>
      </c>
      <c r="F202" s="4" t="s">
        <v>50</v>
      </c>
      <c r="G202" s="8">
        <v>1</v>
      </c>
      <c r="H202" s="8">
        <v>3</v>
      </c>
      <c r="I202" s="8">
        <v>0</v>
      </c>
      <c r="J202" s="10">
        <v>4</v>
      </c>
    </row>
    <row r="203" spans="1:10" x14ac:dyDescent="0.25">
      <c r="A203" s="8">
        <v>22</v>
      </c>
      <c r="B203" s="5">
        <v>9</v>
      </c>
      <c r="C203" s="5">
        <v>8</v>
      </c>
      <c r="D203" s="5">
        <v>7</v>
      </c>
      <c r="E203" s="4">
        <v>1</v>
      </c>
      <c r="F203" s="4" t="s">
        <v>50</v>
      </c>
      <c r="G203" s="8">
        <v>0</v>
      </c>
      <c r="H203" s="8">
        <v>1</v>
      </c>
      <c r="I203" s="8">
        <v>-0.51616215895814932</v>
      </c>
      <c r="J203" s="10">
        <v>3</v>
      </c>
    </row>
    <row r="204" spans="1:10" x14ac:dyDescent="0.25">
      <c r="A204" s="8">
        <v>23</v>
      </c>
      <c r="B204" s="5">
        <v>7</v>
      </c>
      <c r="C204" s="5">
        <v>10</v>
      </c>
      <c r="D204" s="5">
        <v>8</v>
      </c>
      <c r="E204" s="4">
        <v>1</v>
      </c>
      <c r="F204" s="4" t="s">
        <v>50</v>
      </c>
      <c r="G204" s="8">
        <v>0</v>
      </c>
      <c r="H204" s="8">
        <v>0</v>
      </c>
      <c r="I204" s="8">
        <v>0.93365597865754735</v>
      </c>
      <c r="J204" s="10">
        <v>4</v>
      </c>
    </row>
    <row r="205" spans="1:10" x14ac:dyDescent="0.25">
      <c r="A205" s="8">
        <v>24</v>
      </c>
      <c r="B205" s="5">
        <v>10</v>
      </c>
      <c r="C205" s="5">
        <v>12</v>
      </c>
      <c r="D205" s="5">
        <v>6</v>
      </c>
      <c r="E205" s="4">
        <v>1</v>
      </c>
      <c r="F205" s="4" t="s">
        <v>50</v>
      </c>
      <c r="G205" s="8">
        <v>0</v>
      </c>
      <c r="H205" s="8">
        <v>1</v>
      </c>
      <c r="I205" s="8">
        <v>-0.17609125905568127</v>
      </c>
      <c r="J205" s="10">
        <v>4</v>
      </c>
    </row>
    <row r="206" spans="1:10" x14ac:dyDescent="0.25">
      <c r="A206" s="8">
        <v>25</v>
      </c>
      <c r="B206" s="5">
        <v>11</v>
      </c>
      <c r="C206" s="5">
        <v>9</v>
      </c>
      <c r="D206" s="5">
        <v>4</v>
      </c>
      <c r="E206" s="4">
        <v>1</v>
      </c>
      <c r="F206" s="4" t="s">
        <v>50</v>
      </c>
      <c r="G206" s="8">
        <v>0</v>
      </c>
      <c r="H206" s="8">
        <v>1</v>
      </c>
      <c r="I206" s="8">
        <v>-0.17609125905568127</v>
      </c>
      <c r="J206" s="10">
        <v>4</v>
      </c>
    </row>
    <row r="207" spans="1:10" x14ac:dyDescent="0.25">
      <c r="A207" s="8">
        <v>26</v>
      </c>
      <c r="B207" s="5">
        <v>8</v>
      </c>
      <c r="C207" s="5">
        <v>12</v>
      </c>
      <c r="D207" s="5">
        <v>9</v>
      </c>
      <c r="E207" s="4">
        <v>1</v>
      </c>
      <c r="F207" s="4" t="s">
        <v>50</v>
      </c>
      <c r="G207" s="8">
        <v>0</v>
      </c>
      <c r="H207" s="8">
        <v>1</v>
      </c>
      <c r="I207" s="8">
        <v>0.16161854630793135</v>
      </c>
      <c r="J207" s="10">
        <v>2</v>
      </c>
    </row>
    <row r="208" spans="1:10" x14ac:dyDescent="0.25">
      <c r="A208" s="8">
        <v>27</v>
      </c>
      <c r="B208" s="5">
        <v>9</v>
      </c>
      <c r="C208" s="5">
        <v>10</v>
      </c>
      <c r="D208" s="5">
        <v>2</v>
      </c>
      <c r="E208" s="4">
        <v>1</v>
      </c>
      <c r="F208" s="4" t="s">
        <v>50</v>
      </c>
      <c r="G208" s="8">
        <v>0</v>
      </c>
      <c r="H208" s="8">
        <v>1</v>
      </c>
      <c r="I208" s="8">
        <v>-0.17609125905568127</v>
      </c>
      <c r="J208" s="10">
        <v>4</v>
      </c>
    </row>
    <row r="209" spans="1:10" x14ac:dyDescent="0.25">
      <c r="A209" s="8">
        <v>28</v>
      </c>
      <c r="B209" s="5">
        <v>6</v>
      </c>
      <c r="C209" s="5">
        <v>9</v>
      </c>
      <c r="D209" s="5">
        <v>10</v>
      </c>
      <c r="E209" s="4">
        <v>1</v>
      </c>
      <c r="F209" s="4" t="s">
        <v>50</v>
      </c>
      <c r="G209" s="8">
        <v>0</v>
      </c>
      <c r="H209" s="8">
        <v>1</v>
      </c>
      <c r="I209" s="8">
        <v>0.16161854630793135</v>
      </c>
      <c r="J209" s="10">
        <v>3</v>
      </c>
    </row>
    <row r="210" spans="1:10" x14ac:dyDescent="0.25">
      <c r="A210" s="8">
        <v>29</v>
      </c>
      <c r="B210" s="5">
        <v>11</v>
      </c>
      <c r="C210" s="5">
        <v>12</v>
      </c>
      <c r="D210" s="5">
        <v>1</v>
      </c>
      <c r="E210" s="4">
        <v>1</v>
      </c>
      <c r="F210" s="4" t="s">
        <v>50</v>
      </c>
      <c r="G210" s="8">
        <v>0</v>
      </c>
      <c r="H210" s="8">
        <v>1</v>
      </c>
      <c r="I210" s="8">
        <v>-0.17609125905568127</v>
      </c>
      <c r="J210" s="10">
        <v>4</v>
      </c>
    </row>
    <row r="211" spans="1:10" x14ac:dyDescent="0.25">
      <c r="A211" s="8">
        <v>30</v>
      </c>
      <c r="B211" s="5">
        <v>7</v>
      </c>
      <c r="C211" s="5">
        <v>6</v>
      </c>
      <c r="D211" s="5">
        <v>8</v>
      </c>
      <c r="E211" s="4">
        <v>1</v>
      </c>
      <c r="F211" s="4" t="s">
        <v>50</v>
      </c>
      <c r="G211" s="8">
        <v>0</v>
      </c>
      <c r="H211" s="8">
        <v>0</v>
      </c>
      <c r="I211" s="8">
        <v>-1.2406428361467488</v>
      </c>
      <c r="J211" s="10">
        <v>2</v>
      </c>
    </row>
    <row r="212" spans="1:10" x14ac:dyDescent="0.25">
      <c r="A212" s="8">
        <v>31</v>
      </c>
      <c r="B212" s="5">
        <v>11</v>
      </c>
      <c r="C212" s="5">
        <v>11</v>
      </c>
      <c r="D212" s="5">
        <v>3</v>
      </c>
      <c r="E212" s="4">
        <v>1</v>
      </c>
      <c r="F212" s="4" t="s">
        <v>50</v>
      </c>
      <c r="G212" s="8">
        <v>0</v>
      </c>
      <c r="H212" s="8">
        <v>1</v>
      </c>
      <c r="I212" s="8">
        <v>0.50168944621039957</v>
      </c>
      <c r="J212" s="10">
        <v>4</v>
      </c>
    </row>
    <row r="213" spans="1:10" x14ac:dyDescent="0.25">
      <c r="A213" s="8">
        <v>32</v>
      </c>
      <c r="B213" s="5">
        <v>9</v>
      </c>
      <c r="C213" s="5">
        <v>12</v>
      </c>
      <c r="D213" s="5">
        <v>6</v>
      </c>
      <c r="E213" s="4">
        <v>1</v>
      </c>
      <c r="F213" s="4" t="s">
        <v>50</v>
      </c>
      <c r="G213" s="8">
        <v>0</v>
      </c>
      <c r="H213" s="8">
        <v>0</v>
      </c>
      <c r="I213" s="8">
        <v>-0.80867630369960097</v>
      </c>
      <c r="J213" s="10">
        <v>3</v>
      </c>
    </row>
    <row r="214" spans="1:10" x14ac:dyDescent="0.25">
      <c r="A214" s="8">
        <v>33</v>
      </c>
      <c r="B214" s="5">
        <v>10</v>
      </c>
      <c r="C214" s="5">
        <v>11</v>
      </c>
      <c r="D214" s="5">
        <v>5</v>
      </c>
      <c r="E214" s="4">
        <v>1</v>
      </c>
      <c r="F214" s="4" t="s">
        <v>50</v>
      </c>
      <c r="G214" s="8">
        <v>0</v>
      </c>
      <c r="H214" s="8">
        <v>1</v>
      </c>
      <c r="I214" s="8">
        <v>-0.17609125905568127</v>
      </c>
      <c r="J214" s="10">
        <v>3</v>
      </c>
    </row>
    <row r="215" spans="1:10" x14ac:dyDescent="0.25">
      <c r="A215" s="8">
        <v>34</v>
      </c>
      <c r="B215" s="5">
        <v>10</v>
      </c>
      <c r="C215" s="5">
        <v>8</v>
      </c>
      <c r="D215" s="5">
        <v>4</v>
      </c>
      <c r="E215" s="4">
        <v>1</v>
      </c>
      <c r="F215" s="4" t="s">
        <v>50</v>
      </c>
      <c r="G215" s="8">
        <v>0</v>
      </c>
      <c r="H215" s="8">
        <v>1</v>
      </c>
      <c r="I215" s="8">
        <v>-0.51616215895814932</v>
      </c>
      <c r="J215" s="10">
        <v>3</v>
      </c>
    </row>
    <row r="216" spans="1:10" x14ac:dyDescent="0.25">
      <c r="A216" s="8">
        <v>35</v>
      </c>
      <c r="B216" s="5">
        <v>11</v>
      </c>
      <c r="C216" s="5">
        <v>12</v>
      </c>
      <c r="D216" s="5">
        <v>7</v>
      </c>
      <c r="E216" s="4">
        <v>1</v>
      </c>
      <c r="F216" s="4" t="s">
        <v>50</v>
      </c>
      <c r="G216" s="8">
        <v>0</v>
      </c>
      <c r="H216" s="8">
        <v>1</v>
      </c>
      <c r="I216" s="8">
        <v>-0.17609125905568127</v>
      </c>
      <c r="J216" s="10">
        <v>4</v>
      </c>
    </row>
    <row r="217" spans="1:10" x14ac:dyDescent="0.25">
      <c r="A217" s="8">
        <v>36</v>
      </c>
      <c r="B217" s="5">
        <v>11</v>
      </c>
      <c r="C217" s="5">
        <v>11</v>
      </c>
      <c r="D217" s="5">
        <v>2</v>
      </c>
      <c r="E217" s="4">
        <v>1</v>
      </c>
      <c r="F217" s="4" t="s">
        <v>50</v>
      </c>
      <c r="G217" s="8">
        <v>1</v>
      </c>
      <c r="H217" s="8">
        <v>3</v>
      </c>
      <c r="I217" s="8">
        <v>0</v>
      </c>
      <c r="J217" s="10">
        <v>3</v>
      </c>
    </row>
    <row r="218" spans="1:10" x14ac:dyDescent="0.25">
      <c r="A218" s="8">
        <v>37</v>
      </c>
      <c r="B218" s="5">
        <v>9</v>
      </c>
      <c r="C218" s="5">
        <v>12</v>
      </c>
      <c r="D218" s="5">
        <v>9</v>
      </c>
      <c r="E218" s="4">
        <v>1</v>
      </c>
      <c r="F218" s="4" t="s">
        <v>50</v>
      </c>
      <c r="G218" s="8">
        <v>0</v>
      </c>
      <c r="H218" s="8">
        <v>1</v>
      </c>
      <c r="I218" s="8">
        <v>-0.17609125905568127</v>
      </c>
      <c r="J218" s="10">
        <v>4</v>
      </c>
    </row>
    <row r="219" spans="1:10" x14ac:dyDescent="0.25">
      <c r="A219" s="8">
        <v>38</v>
      </c>
      <c r="B219" s="5">
        <v>10</v>
      </c>
      <c r="C219" s="5">
        <v>8</v>
      </c>
      <c r="D219" s="5">
        <v>1</v>
      </c>
      <c r="E219" s="4">
        <v>1</v>
      </c>
      <c r="F219" s="4" t="s">
        <v>50</v>
      </c>
      <c r="G219" s="8">
        <v>0</v>
      </c>
      <c r="H219" s="8">
        <v>1</v>
      </c>
      <c r="I219" s="8">
        <v>-0.51616215895814932</v>
      </c>
      <c r="J219" s="10">
        <v>4</v>
      </c>
    </row>
    <row r="220" spans="1:10" x14ac:dyDescent="0.25">
      <c r="A220" s="8">
        <v>39</v>
      </c>
      <c r="B220" s="5">
        <v>6</v>
      </c>
      <c r="C220" s="5">
        <v>4</v>
      </c>
      <c r="D220" s="5">
        <v>10</v>
      </c>
      <c r="E220" s="4">
        <v>1</v>
      </c>
      <c r="F220" s="4" t="s">
        <v>50</v>
      </c>
      <c r="G220" s="8">
        <v>0</v>
      </c>
      <c r="H220" s="8">
        <v>0</v>
      </c>
      <c r="I220" s="8">
        <v>1.765916793966632</v>
      </c>
      <c r="J220" s="10">
        <v>4</v>
      </c>
    </row>
    <row r="221" spans="1:10" x14ac:dyDescent="0.25">
      <c r="A221" s="8">
        <v>40</v>
      </c>
      <c r="B221" s="5">
        <v>10</v>
      </c>
      <c r="C221" s="5">
        <v>11</v>
      </c>
      <c r="D221" s="5">
        <v>3</v>
      </c>
      <c r="E221" s="4">
        <v>1</v>
      </c>
      <c r="F221" s="4" t="s">
        <v>50</v>
      </c>
      <c r="G221" s="8">
        <v>1</v>
      </c>
      <c r="H221" s="8">
        <v>3</v>
      </c>
      <c r="I221" s="8">
        <v>0</v>
      </c>
      <c r="J221" s="10">
        <v>4</v>
      </c>
    </row>
    <row r="222" spans="1:10" x14ac:dyDescent="0.25">
      <c r="A222" s="8">
        <v>41</v>
      </c>
      <c r="B222" s="5">
        <v>11</v>
      </c>
      <c r="C222" s="5">
        <v>12</v>
      </c>
      <c r="D222" s="5">
        <v>8</v>
      </c>
      <c r="E222" s="4">
        <v>1</v>
      </c>
      <c r="F222" s="4" t="s">
        <v>50</v>
      </c>
      <c r="G222" s="8">
        <v>0</v>
      </c>
      <c r="H222" s="8">
        <v>1</v>
      </c>
      <c r="I222" s="8">
        <v>-0.17609125905568127</v>
      </c>
      <c r="J222" s="10">
        <v>4</v>
      </c>
    </row>
    <row r="223" spans="1:10" x14ac:dyDescent="0.25">
      <c r="A223" s="8">
        <v>42</v>
      </c>
      <c r="B223" s="5">
        <v>7</v>
      </c>
      <c r="C223" s="5">
        <v>10</v>
      </c>
      <c r="D223" s="5">
        <v>5</v>
      </c>
      <c r="E223" s="4">
        <v>1</v>
      </c>
      <c r="F223" s="4" t="s">
        <v>50</v>
      </c>
      <c r="G223" s="8">
        <v>0</v>
      </c>
      <c r="H223" s="8">
        <v>1</v>
      </c>
      <c r="I223" s="8">
        <v>-0.51616215895814932</v>
      </c>
      <c r="J223" s="10">
        <v>3</v>
      </c>
    </row>
    <row r="224" spans="1:10" x14ac:dyDescent="0.25">
      <c r="A224" s="8">
        <v>43</v>
      </c>
      <c r="B224" s="5">
        <v>11</v>
      </c>
      <c r="C224" s="5">
        <v>13</v>
      </c>
      <c r="D224" s="5">
        <v>6</v>
      </c>
      <c r="E224" s="4">
        <v>1</v>
      </c>
      <c r="F224" s="4" t="s">
        <v>50</v>
      </c>
      <c r="G224" s="8">
        <v>1</v>
      </c>
      <c r="H224" s="8">
        <v>3</v>
      </c>
      <c r="I224" s="8">
        <v>0</v>
      </c>
      <c r="J224" s="10">
        <v>3</v>
      </c>
    </row>
    <row r="225" spans="1:10" x14ac:dyDescent="0.25">
      <c r="A225" s="8">
        <v>44</v>
      </c>
      <c r="B225" s="5">
        <v>10</v>
      </c>
      <c r="C225" s="5">
        <v>13</v>
      </c>
      <c r="D225" s="5">
        <v>7</v>
      </c>
      <c r="E225" s="4">
        <v>1</v>
      </c>
      <c r="F225" s="4" t="s">
        <v>50</v>
      </c>
      <c r="G225" s="8">
        <v>1</v>
      </c>
      <c r="H225" s="8">
        <v>3</v>
      </c>
      <c r="I225" s="8">
        <v>0</v>
      </c>
      <c r="J225" s="10">
        <v>4</v>
      </c>
    </row>
    <row r="226" spans="1:10" x14ac:dyDescent="0.25">
      <c r="A226" s="8">
        <v>45</v>
      </c>
      <c r="B226" s="5">
        <v>11</v>
      </c>
      <c r="C226" s="5">
        <v>11</v>
      </c>
      <c r="D226" s="5">
        <v>4</v>
      </c>
      <c r="E226" s="4">
        <v>1</v>
      </c>
      <c r="F226" s="4" t="s">
        <v>50</v>
      </c>
      <c r="G226" s="8">
        <v>1</v>
      </c>
      <c r="H226" s="8">
        <v>3</v>
      </c>
      <c r="I226" s="8">
        <v>0</v>
      </c>
      <c r="J226" s="10">
        <v>4</v>
      </c>
    </row>
    <row r="227" spans="1:10" x14ac:dyDescent="0.25">
      <c r="A227" s="8">
        <v>1</v>
      </c>
      <c r="B227" s="5">
        <v>11</v>
      </c>
      <c r="C227" s="5">
        <v>11</v>
      </c>
      <c r="D227" s="5">
        <v>7</v>
      </c>
      <c r="E227" s="4">
        <v>0</v>
      </c>
      <c r="F227" s="4" t="s">
        <v>50</v>
      </c>
      <c r="G227" s="8">
        <v>0</v>
      </c>
      <c r="H227" s="8">
        <v>1</v>
      </c>
      <c r="I227" s="8">
        <v>-1.0865691796698376</v>
      </c>
      <c r="J227" s="12">
        <v>3</v>
      </c>
    </row>
    <row r="228" spans="1:10" x14ac:dyDescent="0.25">
      <c r="A228" s="8">
        <v>2</v>
      </c>
      <c r="B228" s="5">
        <v>10</v>
      </c>
      <c r="C228" s="5">
        <v>13</v>
      </c>
      <c r="D228" s="5">
        <v>7</v>
      </c>
      <c r="E228" s="4">
        <v>0</v>
      </c>
      <c r="F228" s="4" t="s">
        <v>50</v>
      </c>
      <c r="G228" s="8">
        <v>0</v>
      </c>
      <c r="H228" s="8">
        <v>1</v>
      </c>
      <c r="I228" s="8">
        <v>1.3309932190414244</v>
      </c>
      <c r="J228" s="12">
        <v>3</v>
      </c>
    </row>
    <row r="229" spans="1:10" x14ac:dyDescent="0.25">
      <c r="A229" s="8">
        <v>3</v>
      </c>
      <c r="B229" s="5">
        <v>10</v>
      </c>
      <c r="C229" s="5">
        <v>13</v>
      </c>
      <c r="D229" s="5">
        <v>9</v>
      </c>
      <c r="E229" s="4">
        <v>0</v>
      </c>
      <c r="F229" s="4" t="s">
        <v>50</v>
      </c>
      <c r="G229" s="8">
        <v>1</v>
      </c>
      <c r="H229" s="8">
        <v>3</v>
      </c>
      <c r="I229" s="8">
        <v>0</v>
      </c>
      <c r="J229" s="12">
        <v>4</v>
      </c>
    </row>
    <row r="230" spans="1:10" x14ac:dyDescent="0.25">
      <c r="A230" s="8">
        <v>4</v>
      </c>
      <c r="B230" s="5">
        <v>11</v>
      </c>
      <c r="C230" s="5">
        <v>13</v>
      </c>
      <c r="D230" s="5">
        <v>9</v>
      </c>
      <c r="E230" s="4">
        <v>0</v>
      </c>
      <c r="F230" s="4" t="s">
        <v>50</v>
      </c>
      <c r="G230" s="8">
        <v>1</v>
      </c>
      <c r="H230" s="8">
        <v>3</v>
      </c>
      <c r="I230" s="8">
        <v>0</v>
      </c>
      <c r="J230" s="12">
        <v>4</v>
      </c>
    </row>
    <row r="231" spans="1:10" x14ac:dyDescent="0.25">
      <c r="A231" s="8">
        <v>5</v>
      </c>
      <c r="B231" s="5">
        <v>6</v>
      </c>
      <c r="C231" s="5">
        <v>12</v>
      </c>
      <c r="D231" s="5">
        <v>10</v>
      </c>
      <c r="E231" s="4">
        <v>0</v>
      </c>
      <c r="F231" s="4" t="s">
        <v>50</v>
      </c>
      <c r="G231" s="8">
        <v>1</v>
      </c>
      <c r="H231" s="8">
        <v>3</v>
      </c>
      <c r="I231" s="8">
        <v>0</v>
      </c>
      <c r="J231" s="12">
        <v>4</v>
      </c>
    </row>
    <row r="232" spans="1:10" x14ac:dyDescent="0.25">
      <c r="A232" s="8">
        <v>6</v>
      </c>
      <c r="B232" s="5">
        <v>10</v>
      </c>
      <c r="C232" s="5">
        <v>12</v>
      </c>
      <c r="D232" s="5">
        <v>10</v>
      </c>
      <c r="E232" s="4">
        <v>0</v>
      </c>
      <c r="F232" s="4" t="s">
        <v>50</v>
      </c>
      <c r="G232" s="8">
        <v>0</v>
      </c>
      <c r="H232" s="8">
        <v>1</v>
      </c>
      <c r="I232" s="8">
        <v>1.3309932190414244</v>
      </c>
      <c r="J232" s="12">
        <v>3</v>
      </c>
    </row>
    <row r="233" spans="1:10" x14ac:dyDescent="0.25">
      <c r="A233" s="8">
        <v>7</v>
      </c>
      <c r="B233" s="5">
        <v>11</v>
      </c>
      <c r="C233" s="5">
        <v>11</v>
      </c>
      <c r="D233" s="5">
        <v>6</v>
      </c>
      <c r="E233" s="4">
        <v>0</v>
      </c>
      <c r="F233" s="4" t="s">
        <v>50</v>
      </c>
      <c r="G233" s="8">
        <v>0</v>
      </c>
      <c r="H233" s="8">
        <v>0</v>
      </c>
      <c r="I233" s="8">
        <v>-1.1409268419924303</v>
      </c>
      <c r="J233" s="12">
        <v>3</v>
      </c>
    </row>
    <row r="234" spans="1:10" x14ac:dyDescent="0.25">
      <c r="A234" s="8">
        <v>8</v>
      </c>
      <c r="B234" s="5">
        <v>11</v>
      </c>
      <c r="C234" s="5">
        <v>11</v>
      </c>
      <c r="D234" s="5">
        <v>8</v>
      </c>
      <c r="E234" s="4">
        <v>0</v>
      </c>
      <c r="F234" s="4" t="s">
        <v>50</v>
      </c>
      <c r="G234" s="8">
        <v>1</v>
      </c>
      <c r="H234" s="8">
        <v>3</v>
      </c>
      <c r="I234" s="8">
        <v>0</v>
      </c>
      <c r="J234" s="12">
        <v>4</v>
      </c>
    </row>
    <row r="235" spans="1:10" x14ac:dyDescent="0.25">
      <c r="A235" s="8">
        <v>9</v>
      </c>
      <c r="B235" s="5">
        <v>11</v>
      </c>
      <c r="C235" s="5">
        <v>13</v>
      </c>
      <c r="D235" s="5">
        <v>4</v>
      </c>
      <c r="E235" s="4">
        <v>0</v>
      </c>
      <c r="F235" s="4" t="s">
        <v>50</v>
      </c>
      <c r="G235" s="8">
        <v>1</v>
      </c>
      <c r="H235" s="8">
        <v>3</v>
      </c>
      <c r="I235" s="8">
        <v>0</v>
      </c>
      <c r="J235" s="12">
        <v>4</v>
      </c>
    </row>
    <row r="236" spans="1:10" x14ac:dyDescent="0.25">
      <c r="A236" s="8">
        <v>10</v>
      </c>
      <c r="B236" s="5">
        <v>11</v>
      </c>
      <c r="C236" s="5">
        <v>13</v>
      </c>
      <c r="D236" s="5">
        <v>8</v>
      </c>
      <c r="E236" s="4">
        <v>0</v>
      </c>
      <c r="F236" s="4" t="s">
        <v>50</v>
      </c>
      <c r="G236" s="8">
        <v>1</v>
      </c>
      <c r="H236" s="8">
        <v>3</v>
      </c>
      <c r="I236" s="8">
        <v>0</v>
      </c>
      <c r="J236" s="12">
        <v>4</v>
      </c>
    </row>
    <row r="237" spans="1:10" x14ac:dyDescent="0.25">
      <c r="A237" s="8">
        <v>11</v>
      </c>
      <c r="B237" s="5">
        <v>11</v>
      </c>
      <c r="C237" s="5">
        <v>11</v>
      </c>
      <c r="D237" s="5">
        <v>2</v>
      </c>
      <c r="E237" s="4">
        <v>0</v>
      </c>
      <c r="F237" s="4" t="s">
        <v>50</v>
      </c>
      <c r="G237" s="8">
        <v>0</v>
      </c>
      <c r="H237" s="8">
        <v>0</v>
      </c>
      <c r="I237" s="8">
        <v>-0.704234244328376</v>
      </c>
      <c r="J237" s="12">
        <v>1</v>
      </c>
    </row>
    <row r="238" spans="1:10" x14ac:dyDescent="0.25">
      <c r="A238" s="8">
        <v>12</v>
      </c>
      <c r="B238" s="5">
        <v>10</v>
      </c>
      <c r="C238" s="5">
        <v>11</v>
      </c>
      <c r="D238" s="5">
        <v>6</v>
      </c>
      <c r="E238" s="4">
        <v>0</v>
      </c>
      <c r="F238" s="4" t="s">
        <v>50</v>
      </c>
      <c r="G238" s="8">
        <v>0</v>
      </c>
      <c r="H238" s="8">
        <v>1</v>
      </c>
      <c r="I238" s="8">
        <v>1.3309932190414244</v>
      </c>
      <c r="J238" s="12">
        <v>4</v>
      </c>
    </row>
    <row r="239" spans="1:10" x14ac:dyDescent="0.25">
      <c r="A239" s="8">
        <v>13</v>
      </c>
      <c r="B239" s="5">
        <v>9</v>
      </c>
      <c r="C239" s="5">
        <v>13</v>
      </c>
      <c r="D239" s="5">
        <v>1</v>
      </c>
      <c r="E239" s="4">
        <v>0</v>
      </c>
      <c r="F239" s="4" t="s">
        <v>50</v>
      </c>
      <c r="G239" s="8">
        <v>0</v>
      </c>
      <c r="H239" s="8">
        <v>0</v>
      </c>
      <c r="I239" s="8">
        <v>-0.704234244328376</v>
      </c>
      <c r="J239" s="12">
        <v>3</v>
      </c>
    </row>
    <row r="240" spans="1:10" x14ac:dyDescent="0.25">
      <c r="A240" s="8">
        <v>14</v>
      </c>
      <c r="B240" s="5">
        <v>10</v>
      </c>
      <c r="C240" s="5">
        <v>11</v>
      </c>
      <c r="D240" s="5">
        <v>4</v>
      </c>
      <c r="E240" s="4">
        <v>0</v>
      </c>
      <c r="F240" s="4" t="s">
        <v>50</v>
      </c>
      <c r="G240" s="8">
        <v>1</v>
      </c>
      <c r="H240" s="8">
        <v>3</v>
      </c>
      <c r="I240" s="8">
        <v>0</v>
      </c>
      <c r="J240" s="12">
        <v>3</v>
      </c>
    </row>
    <row r="241" spans="1:10" x14ac:dyDescent="0.25">
      <c r="A241" s="8">
        <v>15</v>
      </c>
      <c r="B241" s="5">
        <v>11</v>
      </c>
      <c r="C241" s="5">
        <v>13</v>
      </c>
      <c r="D241" s="5">
        <v>3</v>
      </c>
      <c r="E241" s="4">
        <v>0</v>
      </c>
      <c r="F241" s="4" t="s">
        <v>50</v>
      </c>
      <c r="G241" s="8">
        <v>1</v>
      </c>
      <c r="H241" s="8">
        <v>3</v>
      </c>
      <c r="I241" s="8">
        <v>0</v>
      </c>
      <c r="J241" s="12">
        <v>4</v>
      </c>
    </row>
    <row r="242" spans="1:10" x14ac:dyDescent="0.25">
      <c r="A242" s="8">
        <v>16</v>
      </c>
      <c r="B242" s="5">
        <v>10</v>
      </c>
      <c r="C242" s="5">
        <v>13</v>
      </c>
      <c r="D242" s="5">
        <v>2</v>
      </c>
      <c r="E242" s="4">
        <v>0</v>
      </c>
      <c r="F242" s="4" t="s">
        <v>50</v>
      </c>
      <c r="G242" s="8">
        <v>0</v>
      </c>
      <c r="H242" s="8">
        <v>1</v>
      </c>
      <c r="I242" s="8">
        <v>-6.6946789630613221E-2</v>
      </c>
      <c r="J242" s="12">
        <v>3</v>
      </c>
    </row>
    <row r="243" spans="1:10" x14ac:dyDescent="0.25">
      <c r="A243" s="8">
        <v>17</v>
      </c>
      <c r="B243" s="5">
        <v>10</v>
      </c>
      <c r="C243" s="5">
        <v>12</v>
      </c>
      <c r="D243" s="5">
        <v>5</v>
      </c>
      <c r="E243" s="4">
        <v>0</v>
      </c>
      <c r="F243" s="4" t="s">
        <v>50</v>
      </c>
      <c r="G243" s="8">
        <v>0</v>
      </c>
      <c r="H243" s="8">
        <v>0</v>
      </c>
      <c r="I243" s="8">
        <v>-0.704234244328376</v>
      </c>
      <c r="J243" s="12">
        <v>2</v>
      </c>
    </row>
    <row r="244" spans="1:10" x14ac:dyDescent="0.25">
      <c r="A244" s="8">
        <v>18</v>
      </c>
      <c r="B244" s="5">
        <v>7</v>
      </c>
      <c r="C244" s="5">
        <v>11</v>
      </c>
      <c r="D244" s="5">
        <v>1</v>
      </c>
      <c r="E244" s="4">
        <v>0</v>
      </c>
      <c r="F244" s="4" t="s">
        <v>50</v>
      </c>
      <c r="G244" s="8">
        <v>0</v>
      </c>
      <c r="H244" s="8">
        <v>1</v>
      </c>
      <c r="I244" s="8">
        <v>1.3309932190414244</v>
      </c>
      <c r="J244" s="12">
        <v>3</v>
      </c>
    </row>
    <row r="245" spans="1:10" x14ac:dyDescent="0.25">
      <c r="A245" s="8">
        <v>19</v>
      </c>
      <c r="B245" s="5">
        <v>10</v>
      </c>
      <c r="C245" s="5">
        <v>9</v>
      </c>
      <c r="D245" s="5">
        <v>7</v>
      </c>
      <c r="E245" s="4">
        <v>0</v>
      </c>
      <c r="F245" s="4" t="s">
        <v>50</v>
      </c>
      <c r="G245" s="8">
        <v>0</v>
      </c>
      <c r="H245" s="8">
        <v>1</v>
      </c>
      <c r="I245" s="8">
        <v>-1.0865691796698376</v>
      </c>
      <c r="J245" s="12">
        <v>4</v>
      </c>
    </row>
    <row r="246" spans="1:10" x14ac:dyDescent="0.25">
      <c r="A246" s="8">
        <v>20</v>
      </c>
      <c r="B246" s="5">
        <v>10</v>
      </c>
      <c r="C246" s="5">
        <v>10</v>
      </c>
      <c r="D246" s="5">
        <v>3</v>
      </c>
      <c r="E246" s="4">
        <v>0</v>
      </c>
      <c r="F246" s="4" t="s">
        <v>50</v>
      </c>
      <c r="G246" s="8">
        <v>1</v>
      </c>
      <c r="H246" s="8">
        <v>3</v>
      </c>
      <c r="I246" s="8">
        <v>0</v>
      </c>
      <c r="J246" s="12">
        <v>4</v>
      </c>
    </row>
    <row r="247" spans="1:10" x14ac:dyDescent="0.25">
      <c r="A247" s="8">
        <v>21</v>
      </c>
      <c r="B247" s="5">
        <v>11</v>
      </c>
      <c r="C247" s="5">
        <v>11</v>
      </c>
      <c r="D247" s="5">
        <v>9</v>
      </c>
      <c r="E247" s="4">
        <v>0</v>
      </c>
      <c r="F247" s="4" t="s">
        <v>50</v>
      </c>
      <c r="G247" s="8">
        <v>1</v>
      </c>
      <c r="H247" s="8">
        <v>3</v>
      </c>
      <c r="I247" s="8">
        <v>0</v>
      </c>
      <c r="J247" s="12">
        <v>4</v>
      </c>
    </row>
    <row r="248" spans="1:10" x14ac:dyDescent="0.25">
      <c r="A248" s="8">
        <v>22</v>
      </c>
      <c r="B248" s="5">
        <v>9</v>
      </c>
      <c r="C248" s="5">
        <v>8</v>
      </c>
      <c r="D248" s="5">
        <v>5</v>
      </c>
      <c r="E248" s="4">
        <v>0</v>
      </c>
      <c r="F248" s="4" t="s">
        <v>50</v>
      </c>
      <c r="G248" s="8">
        <v>0</v>
      </c>
      <c r="H248" s="8">
        <v>0</v>
      </c>
      <c r="I248" s="8">
        <v>2.1177446411869858</v>
      </c>
      <c r="J248" s="12">
        <v>2</v>
      </c>
    </row>
    <row r="249" spans="1:10" x14ac:dyDescent="0.25">
      <c r="A249" s="8">
        <v>23</v>
      </c>
      <c r="B249" s="5">
        <v>7</v>
      </c>
      <c r="C249" s="5">
        <v>10</v>
      </c>
      <c r="D249" s="5">
        <v>10</v>
      </c>
      <c r="E249" s="4">
        <v>0</v>
      </c>
      <c r="F249" s="4" t="s">
        <v>50</v>
      </c>
      <c r="G249" s="8">
        <v>0</v>
      </c>
      <c r="H249" s="8">
        <v>1</v>
      </c>
      <c r="I249" s="8">
        <v>0.28504189027985094</v>
      </c>
      <c r="J249" s="12">
        <v>4</v>
      </c>
    </row>
    <row r="250" spans="1:10" x14ac:dyDescent="0.25">
      <c r="A250" s="8">
        <v>24</v>
      </c>
      <c r="B250" s="5">
        <v>10</v>
      </c>
      <c r="C250" s="5">
        <v>12</v>
      </c>
      <c r="D250" s="5">
        <v>8</v>
      </c>
      <c r="E250" s="4">
        <v>0</v>
      </c>
      <c r="F250" s="4" t="s">
        <v>50</v>
      </c>
      <c r="G250" s="8">
        <v>0</v>
      </c>
      <c r="H250" s="8">
        <v>1</v>
      </c>
      <c r="I250" s="8">
        <v>-1.0865691796698376</v>
      </c>
      <c r="J250" s="12">
        <v>4</v>
      </c>
    </row>
    <row r="251" spans="1:10" x14ac:dyDescent="0.25">
      <c r="A251" s="8">
        <v>25</v>
      </c>
      <c r="B251" s="5">
        <v>11</v>
      </c>
      <c r="C251" s="5">
        <v>9</v>
      </c>
      <c r="D251" s="5">
        <v>6</v>
      </c>
      <c r="E251" s="4">
        <v>0</v>
      </c>
      <c r="F251" s="4" t="s">
        <v>50</v>
      </c>
      <c r="G251" s="8">
        <v>0</v>
      </c>
      <c r="H251" s="8">
        <v>1</v>
      </c>
      <c r="I251" s="8">
        <v>-1.0865691796698376</v>
      </c>
      <c r="J251" s="12">
        <v>4</v>
      </c>
    </row>
    <row r="252" spans="1:10" x14ac:dyDescent="0.25">
      <c r="A252" s="8">
        <v>26</v>
      </c>
      <c r="B252" s="5">
        <v>8</v>
      </c>
      <c r="C252" s="5">
        <v>12</v>
      </c>
      <c r="D252" s="5">
        <v>7</v>
      </c>
      <c r="E252" s="4">
        <v>0</v>
      </c>
      <c r="F252" s="4" t="s">
        <v>50</v>
      </c>
      <c r="G252" s="8">
        <v>0</v>
      </c>
      <c r="H252" s="8">
        <v>1</v>
      </c>
      <c r="I252" s="8">
        <v>1.3309932190414244</v>
      </c>
      <c r="J252" s="12">
        <v>2</v>
      </c>
    </row>
    <row r="253" spans="1:10" x14ac:dyDescent="0.25">
      <c r="A253" s="8">
        <v>27</v>
      </c>
      <c r="B253" s="5">
        <v>9</v>
      </c>
      <c r="C253" s="5">
        <v>10</v>
      </c>
      <c r="D253" s="5">
        <v>4</v>
      </c>
      <c r="E253" s="4">
        <v>0</v>
      </c>
      <c r="F253" s="4" t="s">
        <v>50</v>
      </c>
      <c r="G253" s="8">
        <v>0</v>
      </c>
      <c r="H253" s="8">
        <v>1</v>
      </c>
      <c r="I253" s="8">
        <v>-1.0865691796698376</v>
      </c>
      <c r="J253" s="12">
        <v>4</v>
      </c>
    </row>
    <row r="254" spans="1:10" x14ac:dyDescent="0.25">
      <c r="A254" s="8">
        <v>28</v>
      </c>
      <c r="B254" s="5">
        <v>6</v>
      </c>
      <c r="C254" s="5">
        <v>9</v>
      </c>
      <c r="D254" s="5">
        <v>9</v>
      </c>
      <c r="E254" s="4">
        <v>0</v>
      </c>
      <c r="F254" s="4" t="s">
        <v>50</v>
      </c>
      <c r="G254" s="8">
        <v>0</v>
      </c>
      <c r="H254" s="8">
        <v>1</v>
      </c>
      <c r="I254" s="8">
        <v>1.3309932190414244</v>
      </c>
      <c r="J254" s="12">
        <v>2</v>
      </c>
    </row>
    <row r="255" spans="1:10" x14ac:dyDescent="0.25">
      <c r="A255" s="8">
        <v>29</v>
      </c>
      <c r="B255" s="5">
        <v>11</v>
      </c>
      <c r="C255" s="5">
        <v>12</v>
      </c>
      <c r="D255" s="5">
        <v>2</v>
      </c>
      <c r="E255" s="4">
        <v>0</v>
      </c>
      <c r="F255" s="4" t="s">
        <v>50</v>
      </c>
      <c r="G255" s="8">
        <v>0</v>
      </c>
      <c r="H255" s="8">
        <v>1</v>
      </c>
      <c r="I255" s="8">
        <v>-1.0865691796698376</v>
      </c>
      <c r="J255" s="12">
        <v>3</v>
      </c>
    </row>
    <row r="256" spans="1:10" x14ac:dyDescent="0.25">
      <c r="A256" s="8">
        <v>30</v>
      </c>
      <c r="B256" s="5">
        <v>7</v>
      </c>
      <c r="C256" s="5">
        <v>6</v>
      </c>
      <c r="D256" s="5">
        <v>10</v>
      </c>
      <c r="E256" s="4">
        <v>0</v>
      </c>
      <c r="F256" s="4" t="s">
        <v>50</v>
      </c>
      <c r="G256" s="8">
        <v>0</v>
      </c>
      <c r="H256" s="8">
        <v>0</v>
      </c>
      <c r="I256" s="8">
        <v>2.9330532103693869</v>
      </c>
      <c r="J256" s="12">
        <v>1</v>
      </c>
    </row>
    <row r="257" spans="1:10" x14ac:dyDescent="0.25">
      <c r="A257" s="8">
        <v>31</v>
      </c>
      <c r="B257" s="5">
        <v>11</v>
      </c>
      <c r="C257" s="5">
        <v>11</v>
      </c>
      <c r="D257" s="5">
        <v>1</v>
      </c>
      <c r="E257" s="4">
        <v>0</v>
      </c>
      <c r="F257" s="4" t="s">
        <v>50</v>
      </c>
      <c r="G257" s="8">
        <v>0</v>
      </c>
      <c r="H257" s="8">
        <v>1</v>
      </c>
      <c r="I257" s="8">
        <v>0.31137082900220003</v>
      </c>
      <c r="J257" s="12">
        <v>4</v>
      </c>
    </row>
    <row r="258" spans="1:10" x14ac:dyDescent="0.25">
      <c r="A258" s="8">
        <v>32</v>
      </c>
      <c r="B258" s="5">
        <v>9</v>
      </c>
      <c r="C258" s="5">
        <v>12</v>
      </c>
      <c r="D258" s="5">
        <v>8</v>
      </c>
      <c r="E258" s="4">
        <v>0</v>
      </c>
      <c r="F258" s="4" t="s">
        <v>50</v>
      </c>
      <c r="G258" s="8">
        <v>0</v>
      </c>
      <c r="H258" s="8">
        <v>1</v>
      </c>
      <c r="I258" s="8">
        <v>-6.6946789630613221E-2</v>
      </c>
      <c r="J258" s="12">
        <v>2</v>
      </c>
    </row>
    <row r="259" spans="1:10" x14ac:dyDescent="0.25">
      <c r="A259" s="8">
        <v>33</v>
      </c>
      <c r="B259" s="5">
        <v>10</v>
      </c>
      <c r="C259" s="5">
        <v>11</v>
      </c>
      <c r="D259" s="5">
        <v>3</v>
      </c>
      <c r="E259" s="4">
        <v>0</v>
      </c>
      <c r="F259" s="4" t="s">
        <v>50</v>
      </c>
      <c r="G259" s="8">
        <v>1</v>
      </c>
      <c r="H259" s="8">
        <v>3</v>
      </c>
      <c r="I259" s="8">
        <v>0</v>
      </c>
      <c r="J259" s="12">
        <v>4</v>
      </c>
    </row>
    <row r="260" spans="1:10" x14ac:dyDescent="0.25">
      <c r="A260" s="8">
        <v>34</v>
      </c>
      <c r="B260" s="5">
        <v>10</v>
      </c>
      <c r="C260" s="5">
        <v>8</v>
      </c>
      <c r="D260" s="5">
        <v>6</v>
      </c>
      <c r="E260" s="4">
        <v>0</v>
      </c>
      <c r="F260" s="4" t="s">
        <v>50</v>
      </c>
      <c r="G260" s="8">
        <v>0</v>
      </c>
      <c r="H260" s="8">
        <v>1</v>
      </c>
      <c r="I260" s="8">
        <v>-6.6946789630613221E-2</v>
      </c>
      <c r="J260" s="12">
        <v>3</v>
      </c>
    </row>
    <row r="261" spans="1:10" x14ac:dyDescent="0.25">
      <c r="A261" s="8">
        <v>35</v>
      </c>
      <c r="B261" s="5">
        <v>11</v>
      </c>
      <c r="C261" s="5">
        <v>12</v>
      </c>
      <c r="D261" s="5">
        <v>5</v>
      </c>
      <c r="E261" s="4">
        <v>0</v>
      </c>
      <c r="F261" s="4" t="s">
        <v>50</v>
      </c>
      <c r="G261" s="8">
        <v>0</v>
      </c>
      <c r="H261" s="8">
        <v>1</v>
      </c>
      <c r="I261" s="8">
        <v>-1.0865691796698376</v>
      </c>
      <c r="J261" s="12">
        <v>4</v>
      </c>
    </row>
    <row r="262" spans="1:10" x14ac:dyDescent="0.25">
      <c r="A262" s="8">
        <v>36</v>
      </c>
      <c r="B262" s="5">
        <v>11</v>
      </c>
      <c r="C262" s="5">
        <v>11</v>
      </c>
      <c r="D262" s="5">
        <v>4</v>
      </c>
      <c r="E262" s="4">
        <v>0</v>
      </c>
      <c r="F262" s="4" t="s">
        <v>50</v>
      </c>
      <c r="G262" s="8">
        <v>1</v>
      </c>
      <c r="H262" s="8">
        <v>3</v>
      </c>
      <c r="I262" s="8">
        <v>0</v>
      </c>
      <c r="J262" s="12">
        <v>3</v>
      </c>
    </row>
    <row r="263" spans="1:10" x14ac:dyDescent="0.25">
      <c r="A263" s="8">
        <v>37</v>
      </c>
      <c r="B263" s="5">
        <v>9</v>
      </c>
      <c r="C263" s="5">
        <v>12</v>
      </c>
      <c r="D263" s="5">
        <v>7</v>
      </c>
      <c r="E263" s="4">
        <v>0</v>
      </c>
      <c r="F263" s="4" t="s">
        <v>50</v>
      </c>
      <c r="G263" s="8">
        <v>0</v>
      </c>
      <c r="H263" s="8">
        <v>1</v>
      </c>
      <c r="I263" s="8">
        <v>-1.0865691796698376</v>
      </c>
      <c r="J263" s="12">
        <v>4</v>
      </c>
    </row>
    <row r="264" spans="1:10" x14ac:dyDescent="0.25">
      <c r="A264" s="8">
        <v>38</v>
      </c>
      <c r="B264" s="5">
        <v>10</v>
      </c>
      <c r="C264" s="5">
        <v>8</v>
      </c>
      <c r="D264" s="5">
        <v>2</v>
      </c>
      <c r="E264" s="4">
        <v>0</v>
      </c>
      <c r="F264" s="4" t="s">
        <v>50</v>
      </c>
      <c r="G264" s="8">
        <v>0</v>
      </c>
      <c r="H264" s="8">
        <v>1</v>
      </c>
      <c r="I264" s="8">
        <v>-6.6946789630613221E-2</v>
      </c>
      <c r="J264" s="12">
        <v>4</v>
      </c>
    </row>
    <row r="265" spans="1:10" x14ac:dyDescent="0.25">
      <c r="A265" s="8">
        <v>39</v>
      </c>
      <c r="B265" s="5">
        <v>6</v>
      </c>
      <c r="C265" s="5">
        <v>4</v>
      </c>
      <c r="D265" s="5">
        <v>9</v>
      </c>
      <c r="E265" s="4">
        <v>0</v>
      </c>
      <c r="F265" s="4" t="s">
        <v>50</v>
      </c>
      <c r="G265" s="8">
        <v>0</v>
      </c>
      <c r="H265" s="8">
        <v>0</v>
      </c>
      <c r="I265" s="8">
        <v>0.2270499433021641</v>
      </c>
      <c r="J265" s="12">
        <v>3</v>
      </c>
    </row>
    <row r="266" spans="1:10" x14ac:dyDescent="0.25">
      <c r="A266" s="8">
        <v>40</v>
      </c>
      <c r="B266" s="5">
        <v>10</v>
      </c>
      <c r="C266" s="5">
        <v>11</v>
      </c>
      <c r="D266" s="5">
        <v>1</v>
      </c>
      <c r="E266" s="4">
        <v>0</v>
      </c>
      <c r="F266" s="4" t="s">
        <v>50</v>
      </c>
      <c r="G266" s="8">
        <v>0</v>
      </c>
      <c r="H266" s="8">
        <v>1</v>
      </c>
      <c r="I266" s="8">
        <v>1.3309932190414244</v>
      </c>
      <c r="J266" s="12">
        <v>2</v>
      </c>
    </row>
    <row r="267" spans="1:10" x14ac:dyDescent="0.25">
      <c r="A267" s="8">
        <v>41</v>
      </c>
      <c r="B267" s="5">
        <v>11</v>
      </c>
      <c r="C267" s="5">
        <v>12</v>
      </c>
      <c r="D267" s="5">
        <v>10</v>
      </c>
      <c r="E267" s="4">
        <v>0</v>
      </c>
      <c r="F267" s="4" t="s">
        <v>50</v>
      </c>
      <c r="G267" s="8">
        <v>0</v>
      </c>
      <c r="H267" s="8">
        <v>1</v>
      </c>
      <c r="I267" s="8">
        <v>-1.0865691796698376</v>
      </c>
      <c r="J267" s="12">
        <v>4</v>
      </c>
    </row>
    <row r="268" spans="1:10" x14ac:dyDescent="0.25">
      <c r="A268" s="8">
        <v>42</v>
      </c>
      <c r="B268" s="5">
        <v>7</v>
      </c>
      <c r="C268" s="5">
        <v>10</v>
      </c>
      <c r="D268" s="5">
        <v>3</v>
      </c>
      <c r="E268" s="4">
        <v>0</v>
      </c>
      <c r="F268" s="4" t="s">
        <v>50</v>
      </c>
      <c r="G268" s="8">
        <v>0</v>
      </c>
      <c r="H268" s="8">
        <v>1</v>
      </c>
      <c r="I268" s="8">
        <v>-6.6946789630613221E-2</v>
      </c>
      <c r="J268" s="12">
        <v>3</v>
      </c>
    </row>
    <row r="269" spans="1:10" x14ac:dyDescent="0.25">
      <c r="A269" s="8">
        <v>43</v>
      </c>
      <c r="B269" s="5">
        <v>11</v>
      </c>
      <c r="C269" s="5">
        <v>13</v>
      </c>
      <c r="D269" s="5">
        <v>8</v>
      </c>
      <c r="E269" s="4">
        <v>0</v>
      </c>
      <c r="F269" s="4" t="s">
        <v>50</v>
      </c>
      <c r="G269" s="8">
        <v>1</v>
      </c>
      <c r="H269" s="8">
        <v>3</v>
      </c>
      <c r="I269" s="8">
        <v>0</v>
      </c>
      <c r="J269" s="12">
        <v>3</v>
      </c>
    </row>
    <row r="270" spans="1:10" x14ac:dyDescent="0.25">
      <c r="A270" s="8">
        <v>44</v>
      </c>
      <c r="B270" s="5">
        <v>10</v>
      </c>
      <c r="C270" s="5">
        <v>13</v>
      </c>
      <c r="D270" s="5">
        <v>5</v>
      </c>
      <c r="E270" s="4">
        <v>0</v>
      </c>
      <c r="F270" s="4" t="s">
        <v>50</v>
      </c>
      <c r="G270" s="8">
        <v>1</v>
      </c>
      <c r="H270" s="8">
        <v>3</v>
      </c>
      <c r="I270" s="8">
        <v>0</v>
      </c>
      <c r="J270" s="12">
        <v>3</v>
      </c>
    </row>
    <row r="271" spans="1:10" x14ac:dyDescent="0.25">
      <c r="A271" s="8">
        <v>45</v>
      </c>
      <c r="B271" s="5">
        <v>11</v>
      </c>
      <c r="C271" s="5">
        <v>11</v>
      </c>
      <c r="D271" s="5">
        <v>6</v>
      </c>
      <c r="E271" s="4">
        <v>0</v>
      </c>
      <c r="F271" s="4" t="s">
        <v>50</v>
      </c>
      <c r="G271" s="8">
        <v>1</v>
      </c>
      <c r="H271" s="8">
        <v>3</v>
      </c>
      <c r="I271" s="8">
        <v>0</v>
      </c>
      <c r="J271" s="12">
        <v>4</v>
      </c>
    </row>
    <row r="272" spans="1:10" x14ac:dyDescent="0.25">
      <c r="A272" s="8">
        <v>1</v>
      </c>
      <c r="B272" s="5">
        <v>11</v>
      </c>
      <c r="C272" s="5">
        <v>11</v>
      </c>
      <c r="D272" s="5">
        <v>4</v>
      </c>
      <c r="E272" s="4">
        <v>1</v>
      </c>
      <c r="F272" s="4" t="s">
        <v>52</v>
      </c>
      <c r="G272" s="8">
        <v>0</v>
      </c>
      <c r="H272" s="8">
        <v>1</v>
      </c>
      <c r="I272" s="8">
        <v>0.35447431489094727</v>
      </c>
      <c r="J272" s="10">
        <v>3</v>
      </c>
    </row>
    <row r="273" spans="1:10" x14ac:dyDescent="0.25">
      <c r="A273" s="8">
        <v>2</v>
      </c>
      <c r="B273" s="5">
        <v>10</v>
      </c>
      <c r="C273" s="5">
        <v>13</v>
      </c>
      <c r="D273" s="5">
        <v>4</v>
      </c>
      <c r="E273" s="4">
        <v>1</v>
      </c>
      <c r="F273" s="4" t="s">
        <v>52</v>
      </c>
      <c r="G273" s="8">
        <v>0</v>
      </c>
      <c r="H273" s="8">
        <v>1</v>
      </c>
      <c r="I273" s="8">
        <v>-0.49463550229716818</v>
      </c>
      <c r="J273" s="10">
        <v>2</v>
      </c>
    </row>
    <row r="274" spans="1:10" x14ac:dyDescent="0.25">
      <c r="A274" s="8">
        <v>3</v>
      </c>
      <c r="B274" s="5">
        <v>10</v>
      </c>
      <c r="C274" s="5">
        <v>13</v>
      </c>
      <c r="D274" s="5">
        <v>2</v>
      </c>
      <c r="E274" s="4">
        <v>1</v>
      </c>
      <c r="F274" s="4" t="s">
        <v>52</v>
      </c>
      <c r="G274" s="8">
        <v>1</v>
      </c>
      <c r="H274" s="8">
        <v>3</v>
      </c>
      <c r="I274" s="8">
        <v>0</v>
      </c>
      <c r="J274" s="10">
        <v>3</v>
      </c>
    </row>
    <row r="275" spans="1:10" x14ac:dyDescent="0.25">
      <c r="A275" s="8">
        <v>4</v>
      </c>
      <c r="B275" s="5">
        <v>11</v>
      </c>
      <c r="C275" s="5">
        <v>13</v>
      </c>
      <c r="D275" s="5">
        <v>2</v>
      </c>
      <c r="E275" s="4">
        <v>1</v>
      </c>
      <c r="F275" s="4" t="s">
        <v>52</v>
      </c>
      <c r="G275" s="8">
        <v>0</v>
      </c>
      <c r="H275" s="8">
        <v>1</v>
      </c>
      <c r="I275" s="8">
        <v>-0.49463550229716818</v>
      </c>
      <c r="J275" s="10">
        <v>4</v>
      </c>
    </row>
    <row r="276" spans="1:10" x14ac:dyDescent="0.25">
      <c r="A276" s="8">
        <v>5</v>
      </c>
      <c r="B276" s="5">
        <v>6</v>
      </c>
      <c r="C276" s="5">
        <v>12</v>
      </c>
      <c r="D276" s="5">
        <v>1</v>
      </c>
      <c r="E276" s="4">
        <v>1</v>
      </c>
      <c r="F276" s="4" t="s">
        <v>52</v>
      </c>
      <c r="G276" s="8">
        <v>1</v>
      </c>
      <c r="H276" s="8">
        <v>3</v>
      </c>
      <c r="I276" s="8">
        <v>0</v>
      </c>
      <c r="J276" s="10">
        <v>4</v>
      </c>
    </row>
    <row r="277" spans="1:10" x14ac:dyDescent="0.25">
      <c r="A277" s="8">
        <v>6</v>
      </c>
      <c r="B277" s="5">
        <v>10</v>
      </c>
      <c r="C277" s="5">
        <v>12</v>
      </c>
      <c r="D277" s="5">
        <v>1</v>
      </c>
      <c r="E277" s="4">
        <v>1</v>
      </c>
      <c r="F277" s="4" t="s">
        <v>52</v>
      </c>
      <c r="G277" s="8">
        <v>0</v>
      </c>
      <c r="H277" s="8">
        <v>0</v>
      </c>
      <c r="I277" s="8">
        <v>-0.37509179757557437</v>
      </c>
      <c r="J277" s="10">
        <v>2</v>
      </c>
    </row>
    <row r="278" spans="1:10" x14ac:dyDescent="0.25">
      <c r="A278" s="8">
        <v>7</v>
      </c>
      <c r="B278" s="5">
        <v>11</v>
      </c>
      <c r="C278" s="5">
        <v>11</v>
      </c>
      <c r="D278" s="5">
        <v>5</v>
      </c>
      <c r="E278" s="4">
        <v>1</v>
      </c>
      <c r="F278" s="4" t="s">
        <v>52</v>
      </c>
      <c r="G278" s="8">
        <v>0</v>
      </c>
      <c r="H278" s="8">
        <v>1</v>
      </c>
      <c r="I278" s="8">
        <v>-0.16840443038939024</v>
      </c>
      <c r="J278" s="10">
        <v>3</v>
      </c>
    </row>
    <row r="279" spans="1:10" x14ac:dyDescent="0.25">
      <c r="A279" s="8">
        <v>8</v>
      </c>
      <c r="B279" s="5">
        <v>11</v>
      </c>
      <c r="C279" s="5">
        <v>11</v>
      </c>
      <c r="D279" s="5">
        <v>3</v>
      </c>
      <c r="E279" s="4">
        <v>1</v>
      </c>
      <c r="F279" s="4" t="s">
        <v>52</v>
      </c>
      <c r="G279" s="8">
        <v>1</v>
      </c>
      <c r="H279" s="8">
        <v>3</v>
      </c>
      <c r="I279" s="8">
        <v>0</v>
      </c>
      <c r="J279" s="10">
        <v>4</v>
      </c>
    </row>
    <row r="280" spans="1:10" x14ac:dyDescent="0.25">
      <c r="A280" s="8">
        <v>9</v>
      </c>
      <c r="B280" s="5">
        <v>11</v>
      </c>
      <c r="C280" s="5">
        <v>13</v>
      </c>
      <c r="D280" s="5">
        <v>7</v>
      </c>
      <c r="E280" s="4">
        <v>1</v>
      </c>
      <c r="F280" s="4" t="s">
        <v>52</v>
      </c>
      <c r="G280" s="8">
        <v>1</v>
      </c>
      <c r="H280" s="8">
        <v>3</v>
      </c>
      <c r="I280" s="8">
        <v>0</v>
      </c>
      <c r="J280" s="10">
        <v>4</v>
      </c>
    </row>
    <row r="281" spans="1:10" x14ac:dyDescent="0.25">
      <c r="A281" s="8">
        <v>10</v>
      </c>
      <c r="B281" s="5">
        <v>11</v>
      </c>
      <c r="C281" s="5">
        <v>13</v>
      </c>
      <c r="D281" s="5">
        <v>3</v>
      </c>
      <c r="E281" s="4">
        <v>1</v>
      </c>
      <c r="F281" s="4" t="s">
        <v>52</v>
      </c>
      <c r="G281" s="8">
        <v>1</v>
      </c>
      <c r="H281" s="8">
        <v>3</v>
      </c>
      <c r="I281" s="8">
        <v>0</v>
      </c>
      <c r="J281" s="10">
        <v>4</v>
      </c>
    </row>
    <row r="282" spans="1:10" x14ac:dyDescent="0.25">
      <c r="A282" s="8">
        <v>11</v>
      </c>
      <c r="B282" s="5">
        <v>11</v>
      </c>
      <c r="C282" s="5">
        <v>11</v>
      </c>
      <c r="D282" s="5">
        <v>9</v>
      </c>
      <c r="E282" s="4">
        <v>1</v>
      </c>
      <c r="F282" s="4" t="s">
        <v>52</v>
      </c>
      <c r="G282" s="8">
        <v>0</v>
      </c>
      <c r="H282" s="8">
        <v>1</v>
      </c>
      <c r="I282" s="8">
        <v>-0.16840443038939024</v>
      </c>
      <c r="J282" s="10">
        <v>3</v>
      </c>
    </row>
    <row r="283" spans="1:10" x14ac:dyDescent="0.25">
      <c r="A283" s="8">
        <v>12</v>
      </c>
      <c r="B283" s="5">
        <v>10</v>
      </c>
      <c r="C283" s="5">
        <v>11</v>
      </c>
      <c r="D283" s="5">
        <v>5</v>
      </c>
      <c r="E283" s="4">
        <v>1</v>
      </c>
      <c r="F283" s="4" t="s">
        <v>52</v>
      </c>
      <c r="G283" s="8">
        <v>0</v>
      </c>
      <c r="H283" s="8">
        <v>1</v>
      </c>
      <c r="I283" s="8">
        <v>2.8243242983169416E-2</v>
      </c>
      <c r="J283" s="10">
        <v>3</v>
      </c>
    </row>
    <row r="284" spans="1:10" x14ac:dyDescent="0.25">
      <c r="A284" s="8">
        <v>13</v>
      </c>
      <c r="B284" s="5">
        <v>9</v>
      </c>
      <c r="C284" s="5">
        <v>13</v>
      </c>
      <c r="D284" s="5">
        <v>10</v>
      </c>
      <c r="E284" s="4">
        <v>1</v>
      </c>
      <c r="F284" s="4" t="s">
        <v>52</v>
      </c>
      <c r="G284" s="8">
        <v>0</v>
      </c>
      <c r="H284" s="8">
        <v>0</v>
      </c>
      <c r="I284" s="8">
        <v>0.90822962664435469</v>
      </c>
      <c r="J284" s="10">
        <v>3</v>
      </c>
    </row>
    <row r="285" spans="1:10" x14ac:dyDescent="0.25">
      <c r="A285" s="8">
        <v>14</v>
      </c>
      <c r="B285" s="5">
        <v>10</v>
      </c>
      <c r="C285" s="5">
        <v>11</v>
      </c>
      <c r="D285" s="5">
        <v>7</v>
      </c>
      <c r="E285" s="4">
        <v>1</v>
      </c>
      <c r="F285" s="4" t="s">
        <v>52</v>
      </c>
      <c r="G285" s="8">
        <v>1</v>
      </c>
      <c r="H285" s="8">
        <v>3</v>
      </c>
      <c r="I285" s="8">
        <v>0</v>
      </c>
      <c r="J285" s="10">
        <v>4</v>
      </c>
    </row>
    <row r="286" spans="1:10" x14ac:dyDescent="0.25">
      <c r="A286" s="8">
        <v>15</v>
      </c>
      <c r="B286" s="5">
        <v>11</v>
      </c>
      <c r="C286" s="5">
        <v>13</v>
      </c>
      <c r="D286" s="5">
        <v>8</v>
      </c>
      <c r="E286" s="4">
        <v>1</v>
      </c>
      <c r="F286" s="4" t="s">
        <v>52</v>
      </c>
      <c r="G286" s="8">
        <v>0</v>
      </c>
      <c r="H286" s="8">
        <v>3</v>
      </c>
      <c r="I286" s="8">
        <v>0</v>
      </c>
      <c r="J286" s="10">
        <v>4</v>
      </c>
    </row>
    <row r="287" spans="1:10" x14ac:dyDescent="0.25">
      <c r="A287" s="8">
        <v>16</v>
      </c>
      <c r="B287" s="5">
        <v>10</v>
      </c>
      <c r="C287" s="5">
        <v>13</v>
      </c>
      <c r="D287" s="5">
        <v>9</v>
      </c>
      <c r="E287" s="4">
        <v>1</v>
      </c>
      <c r="F287" s="4" t="s">
        <v>52</v>
      </c>
      <c r="G287" s="8">
        <v>0</v>
      </c>
      <c r="H287" s="8">
        <v>1</v>
      </c>
      <c r="I287" s="8">
        <v>-0.49463550229716818</v>
      </c>
      <c r="J287" s="10">
        <v>4</v>
      </c>
    </row>
    <row r="288" spans="1:10" x14ac:dyDescent="0.25">
      <c r="A288" s="8">
        <v>17</v>
      </c>
      <c r="B288" s="5">
        <v>10</v>
      </c>
      <c r="C288" s="5">
        <v>12</v>
      </c>
      <c r="D288" s="5">
        <v>6</v>
      </c>
      <c r="E288" s="4">
        <v>1</v>
      </c>
      <c r="F288" s="4" t="s">
        <v>52</v>
      </c>
      <c r="G288" s="8">
        <v>0</v>
      </c>
      <c r="H288" s="8">
        <v>0</v>
      </c>
      <c r="I288" s="8">
        <v>0.90822962664435469</v>
      </c>
      <c r="J288" s="10">
        <v>1</v>
      </c>
    </row>
    <row r="289" spans="1:10" x14ac:dyDescent="0.25">
      <c r="A289" s="8">
        <v>18</v>
      </c>
      <c r="B289" s="5">
        <v>7</v>
      </c>
      <c r="C289" s="5">
        <v>11</v>
      </c>
      <c r="D289" s="5">
        <v>10</v>
      </c>
      <c r="E289" s="4">
        <v>1</v>
      </c>
      <c r="F289" s="4" t="s">
        <v>52</v>
      </c>
      <c r="G289" s="8">
        <v>0</v>
      </c>
      <c r="H289" s="8">
        <v>1</v>
      </c>
      <c r="I289" s="8">
        <v>2.8243242983169416E-2</v>
      </c>
      <c r="J289" s="10">
        <v>1</v>
      </c>
    </row>
    <row r="290" spans="1:10" x14ac:dyDescent="0.25">
      <c r="A290" s="8">
        <v>19</v>
      </c>
      <c r="B290" s="5">
        <v>10</v>
      </c>
      <c r="C290" s="5">
        <v>9</v>
      </c>
      <c r="D290" s="5">
        <v>4</v>
      </c>
      <c r="E290" s="4">
        <v>1</v>
      </c>
      <c r="F290" s="4" t="s">
        <v>52</v>
      </c>
      <c r="G290" s="8">
        <v>0</v>
      </c>
      <c r="H290" s="8">
        <v>1</v>
      </c>
      <c r="I290" s="8">
        <v>-0.16840443038939024</v>
      </c>
      <c r="J290" s="10">
        <v>3</v>
      </c>
    </row>
    <row r="291" spans="1:10" x14ac:dyDescent="0.25">
      <c r="A291" s="8">
        <v>20</v>
      </c>
      <c r="B291" s="5">
        <v>10</v>
      </c>
      <c r="C291" s="5">
        <v>10</v>
      </c>
      <c r="D291" s="5">
        <v>8</v>
      </c>
      <c r="E291" s="4">
        <v>1</v>
      </c>
      <c r="F291" s="4" t="s">
        <v>52</v>
      </c>
      <c r="G291" s="8">
        <v>1</v>
      </c>
      <c r="H291" s="8">
        <v>3</v>
      </c>
      <c r="I291" s="8">
        <v>0</v>
      </c>
      <c r="J291" s="10">
        <v>4</v>
      </c>
    </row>
    <row r="292" spans="1:10" x14ac:dyDescent="0.25">
      <c r="A292" s="8">
        <v>21</v>
      </c>
      <c r="B292" s="5">
        <v>11</v>
      </c>
      <c r="C292" s="5">
        <v>11</v>
      </c>
      <c r="D292" s="5">
        <v>2</v>
      </c>
      <c r="E292" s="4">
        <v>1</v>
      </c>
      <c r="F292" s="4" t="s">
        <v>52</v>
      </c>
      <c r="G292" s="8">
        <v>0</v>
      </c>
      <c r="H292" s="8">
        <v>0</v>
      </c>
      <c r="I292" s="8">
        <v>0.11711339909634338</v>
      </c>
      <c r="J292" s="10">
        <v>4</v>
      </c>
    </row>
    <row r="293" spans="1:10" x14ac:dyDescent="0.25">
      <c r="A293" s="8">
        <v>22</v>
      </c>
      <c r="B293" s="5">
        <v>9</v>
      </c>
      <c r="C293" s="5">
        <v>8</v>
      </c>
      <c r="D293" s="5">
        <v>6</v>
      </c>
      <c r="E293" s="4">
        <v>1</v>
      </c>
      <c r="F293" s="4" t="s">
        <v>52</v>
      </c>
      <c r="G293" s="8">
        <v>0</v>
      </c>
      <c r="H293" s="8">
        <v>1</v>
      </c>
      <c r="I293" s="8">
        <v>-0.49463550229716818</v>
      </c>
      <c r="J293" s="10">
        <v>3</v>
      </c>
    </row>
    <row r="294" spans="1:10" x14ac:dyDescent="0.25">
      <c r="A294" s="8">
        <v>23</v>
      </c>
      <c r="B294" s="5">
        <v>7</v>
      </c>
      <c r="C294" s="5">
        <v>10</v>
      </c>
      <c r="D294" s="5">
        <v>1</v>
      </c>
      <c r="E294" s="4">
        <v>1</v>
      </c>
      <c r="F294" s="4" t="s">
        <v>52</v>
      </c>
      <c r="G294" s="8">
        <v>0</v>
      </c>
      <c r="H294" s="8">
        <v>2</v>
      </c>
      <c r="I294" s="8">
        <v>-1.6232492903979006</v>
      </c>
      <c r="J294" s="10">
        <v>2</v>
      </c>
    </row>
    <row r="295" spans="1:10" x14ac:dyDescent="0.25">
      <c r="A295" s="8">
        <v>24</v>
      </c>
      <c r="B295" s="5">
        <v>10</v>
      </c>
      <c r="C295" s="5">
        <v>12</v>
      </c>
      <c r="D295" s="5">
        <v>3</v>
      </c>
      <c r="E295" s="4">
        <v>1</v>
      </c>
      <c r="F295" s="4" t="s">
        <v>52</v>
      </c>
      <c r="G295" s="8">
        <v>0</v>
      </c>
      <c r="H295" s="8">
        <v>1</v>
      </c>
      <c r="I295" s="8">
        <v>-0.16840443038939024</v>
      </c>
      <c r="J295" s="10">
        <v>4</v>
      </c>
    </row>
    <row r="296" spans="1:10" x14ac:dyDescent="0.25">
      <c r="A296" s="8">
        <v>25</v>
      </c>
      <c r="B296" s="5">
        <v>11</v>
      </c>
      <c r="C296" s="5">
        <v>9</v>
      </c>
      <c r="D296" s="5">
        <v>5</v>
      </c>
      <c r="E296" s="4">
        <v>1</v>
      </c>
      <c r="F296" s="4" t="s">
        <v>52</v>
      </c>
      <c r="G296" s="8">
        <v>0</v>
      </c>
      <c r="H296" s="8">
        <v>1</v>
      </c>
      <c r="I296" s="8">
        <v>-0.16840443038939024</v>
      </c>
      <c r="J296" s="10">
        <v>3</v>
      </c>
    </row>
    <row r="297" spans="1:10" x14ac:dyDescent="0.25">
      <c r="A297" s="8">
        <v>26</v>
      </c>
      <c r="B297" s="5">
        <v>8</v>
      </c>
      <c r="C297" s="5">
        <v>12</v>
      </c>
      <c r="D297" s="5">
        <v>4</v>
      </c>
      <c r="E297" s="4">
        <v>1</v>
      </c>
      <c r="F297" s="4" t="s">
        <v>52</v>
      </c>
      <c r="G297" s="8">
        <v>0</v>
      </c>
      <c r="H297" s="8">
        <v>1</v>
      </c>
      <c r="I297" s="8">
        <v>-0.49463550229716818</v>
      </c>
      <c r="J297" s="10">
        <v>2</v>
      </c>
    </row>
    <row r="298" spans="1:10" x14ac:dyDescent="0.25">
      <c r="A298" s="8">
        <v>27</v>
      </c>
      <c r="B298" s="5">
        <v>9</v>
      </c>
      <c r="C298" s="5">
        <v>10</v>
      </c>
      <c r="D298" s="5">
        <v>7</v>
      </c>
      <c r="E298" s="4">
        <v>1</v>
      </c>
      <c r="F298" s="4" t="s">
        <v>52</v>
      </c>
      <c r="G298" s="8">
        <v>0</v>
      </c>
      <c r="H298" s="8">
        <v>1</v>
      </c>
      <c r="I298" s="8">
        <v>-0.16840443038939024</v>
      </c>
      <c r="J298" s="10">
        <v>2</v>
      </c>
    </row>
    <row r="299" spans="1:10" x14ac:dyDescent="0.25">
      <c r="A299" s="8">
        <v>28</v>
      </c>
      <c r="B299" s="5">
        <v>6</v>
      </c>
      <c r="C299" s="5">
        <v>9</v>
      </c>
      <c r="D299" s="5">
        <v>2</v>
      </c>
      <c r="E299" s="4">
        <v>1</v>
      </c>
      <c r="F299" s="4" t="s">
        <v>52</v>
      </c>
      <c r="G299" s="8">
        <v>0</v>
      </c>
      <c r="H299" s="8">
        <v>1</v>
      </c>
      <c r="I299" s="8">
        <v>-0.49463550229716818</v>
      </c>
      <c r="J299" s="10">
        <v>2</v>
      </c>
    </row>
    <row r="300" spans="1:10" x14ac:dyDescent="0.25">
      <c r="A300" s="8">
        <v>29</v>
      </c>
      <c r="B300" s="5">
        <v>11</v>
      </c>
      <c r="C300" s="5">
        <v>12</v>
      </c>
      <c r="D300" s="5">
        <v>9</v>
      </c>
      <c r="E300" s="4">
        <v>1</v>
      </c>
      <c r="F300" s="4" t="s">
        <v>52</v>
      </c>
      <c r="G300" s="8">
        <v>0</v>
      </c>
      <c r="H300" s="8">
        <v>1</v>
      </c>
      <c r="I300" s="8">
        <v>0.35447431489094727</v>
      </c>
      <c r="J300" s="10">
        <v>3</v>
      </c>
    </row>
    <row r="301" spans="1:10" x14ac:dyDescent="0.25">
      <c r="A301" s="8">
        <v>30</v>
      </c>
      <c r="B301" s="5">
        <v>7</v>
      </c>
      <c r="C301" s="5">
        <v>6</v>
      </c>
      <c r="D301" s="5">
        <v>1</v>
      </c>
      <c r="E301" s="4">
        <v>1</v>
      </c>
      <c r="F301" s="4" t="s">
        <v>52</v>
      </c>
      <c r="G301" s="8">
        <v>0</v>
      </c>
      <c r="H301" s="8">
        <v>0</v>
      </c>
      <c r="I301" s="8">
        <v>-0.60148817494265139</v>
      </c>
      <c r="J301" s="10">
        <v>2</v>
      </c>
    </row>
    <row r="302" spans="1:10" x14ac:dyDescent="0.25">
      <c r="A302" s="8">
        <v>31</v>
      </c>
      <c r="B302" s="5">
        <v>11</v>
      </c>
      <c r="C302" s="5">
        <v>11</v>
      </c>
      <c r="D302" s="5">
        <v>10</v>
      </c>
      <c r="E302" s="4">
        <v>1</v>
      </c>
      <c r="F302" s="4" t="s">
        <v>52</v>
      </c>
      <c r="G302" s="8">
        <v>0</v>
      </c>
      <c r="H302" s="8">
        <v>1</v>
      </c>
      <c r="I302" s="8">
        <v>-0.16840443038939024</v>
      </c>
      <c r="J302" s="10">
        <v>4</v>
      </c>
    </row>
    <row r="303" spans="1:10" x14ac:dyDescent="0.25">
      <c r="A303" s="8">
        <v>32</v>
      </c>
      <c r="B303" s="5">
        <v>9</v>
      </c>
      <c r="C303" s="5">
        <v>12</v>
      </c>
      <c r="D303" s="5">
        <v>3</v>
      </c>
      <c r="E303" s="4">
        <v>1</v>
      </c>
      <c r="F303" s="4" t="s">
        <v>52</v>
      </c>
      <c r="G303" s="8">
        <v>0</v>
      </c>
      <c r="H303" s="8">
        <v>0</v>
      </c>
      <c r="I303" s="8">
        <v>-0.40312052117581793</v>
      </c>
      <c r="J303" s="10">
        <v>3</v>
      </c>
    </row>
    <row r="304" spans="1:10" x14ac:dyDescent="0.25">
      <c r="A304" s="8">
        <v>33</v>
      </c>
      <c r="B304" s="5">
        <v>10</v>
      </c>
      <c r="C304" s="5">
        <v>11</v>
      </c>
      <c r="D304" s="5">
        <v>8</v>
      </c>
      <c r="E304" s="4">
        <v>1</v>
      </c>
      <c r="F304" s="4" t="s">
        <v>52</v>
      </c>
      <c r="G304" s="8">
        <v>0</v>
      </c>
      <c r="H304" s="8">
        <v>2</v>
      </c>
      <c r="I304" s="8">
        <v>3.7107522951440118E-2</v>
      </c>
      <c r="J304" s="10">
        <v>3</v>
      </c>
    </row>
    <row r="305" spans="1:10" x14ac:dyDescent="0.25">
      <c r="A305" s="8">
        <v>34</v>
      </c>
      <c r="B305" s="5">
        <v>10</v>
      </c>
      <c r="C305" s="5">
        <v>8</v>
      </c>
      <c r="D305" s="5">
        <v>5</v>
      </c>
      <c r="E305" s="4">
        <v>1</v>
      </c>
      <c r="F305" s="4" t="s">
        <v>52</v>
      </c>
      <c r="G305" s="8">
        <v>0</v>
      </c>
      <c r="H305" s="8">
        <v>1</v>
      </c>
      <c r="I305" s="8">
        <v>-0.49463550229716818</v>
      </c>
      <c r="J305" s="10">
        <v>2</v>
      </c>
    </row>
    <row r="306" spans="1:10" x14ac:dyDescent="0.25">
      <c r="A306" s="8">
        <v>35</v>
      </c>
      <c r="B306" s="5">
        <v>11</v>
      </c>
      <c r="C306" s="5">
        <v>12</v>
      </c>
      <c r="D306" s="5">
        <v>6</v>
      </c>
      <c r="E306" s="4">
        <v>1</v>
      </c>
      <c r="F306" s="4" t="s">
        <v>52</v>
      </c>
      <c r="G306" s="8">
        <v>0</v>
      </c>
      <c r="H306" s="8">
        <v>1</v>
      </c>
      <c r="I306" s="8">
        <v>-0.16840443038939024</v>
      </c>
      <c r="J306" s="10">
        <v>4</v>
      </c>
    </row>
    <row r="307" spans="1:10" x14ac:dyDescent="0.25">
      <c r="A307" s="8">
        <v>36</v>
      </c>
      <c r="B307" s="5">
        <v>11</v>
      </c>
      <c r="C307" s="5">
        <v>11</v>
      </c>
      <c r="D307" s="5">
        <v>7</v>
      </c>
      <c r="E307" s="4">
        <v>1</v>
      </c>
      <c r="F307" s="4" t="s">
        <v>52</v>
      </c>
      <c r="G307" s="8">
        <v>1</v>
      </c>
      <c r="H307" s="8">
        <v>3</v>
      </c>
      <c r="I307" s="8">
        <v>0</v>
      </c>
      <c r="J307" s="10">
        <v>2</v>
      </c>
    </row>
    <row r="308" spans="1:10" x14ac:dyDescent="0.25">
      <c r="A308" s="8">
        <v>37</v>
      </c>
      <c r="B308" s="5">
        <v>9</v>
      </c>
      <c r="C308" s="5">
        <v>12</v>
      </c>
      <c r="D308" s="5">
        <v>4</v>
      </c>
      <c r="E308" s="4">
        <v>1</v>
      </c>
      <c r="F308" s="4" t="s">
        <v>52</v>
      </c>
      <c r="G308" s="8">
        <v>0</v>
      </c>
      <c r="H308" s="8">
        <v>1</v>
      </c>
      <c r="I308" s="8">
        <v>-0.16840443038939024</v>
      </c>
      <c r="J308" s="10">
        <v>3</v>
      </c>
    </row>
    <row r="309" spans="1:10" x14ac:dyDescent="0.25">
      <c r="A309" s="8">
        <v>38</v>
      </c>
      <c r="B309" s="5">
        <v>10</v>
      </c>
      <c r="C309" s="5">
        <v>8</v>
      </c>
      <c r="D309" s="5">
        <v>9</v>
      </c>
      <c r="E309" s="4">
        <v>1</v>
      </c>
      <c r="F309" s="4" t="s">
        <v>52</v>
      </c>
      <c r="G309" s="8">
        <v>0</v>
      </c>
      <c r="H309" s="8">
        <v>1</v>
      </c>
      <c r="I309" s="8">
        <v>2.8243242983169416E-2</v>
      </c>
      <c r="J309" s="10">
        <v>4</v>
      </c>
    </row>
    <row r="310" spans="1:10" x14ac:dyDescent="0.25">
      <c r="A310" s="8">
        <v>39</v>
      </c>
      <c r="B310" s="5">
        <v>6</v>
      </c>
      <c r="C310" s="5">
        <v>4</v>
      </c>
      <c r="D310" s="5">
        <v>2</v>
      </c>
      <c r="E310" s="4">
        <v>1</v>
      </c>
      <c r="F310" s="4" t="s">
        <v>52</v>
      </c>
      <c r="G310" s="8">
        <v>0</v>
      </c>
      <c r="H310" s="8">
        <v>0</v>
      </c>
      <c r="I310" s="8">
        <v>0.87020876059728791</v>
      </c>
      <c r="J310" s="10">
        <v>3</v>
      </c>
    </row>
    <row r="311" spans="1:10" x14ac:dyDescent="0.25">
      <c r="A311" s="8">
        <v>40</v>
      </c>
      <c r="B311" s="5">
        <v>10</v>
      </c>
      <c r="C311" s="5">
        <v>11</v>
      </c>
      <c r="D311" s="5">
        <v>10</v>
      </c>
      <c r="E311" s="4">
        <v>1</v>
      </c>
      <c r="F311" s="4" t="s">
        <v>52</v>
      </c>
      <c r="G311" s="8">
        <v>1</v>
      </c>
      <c r="H311" s="8">
        <v>3</v>
      </c>
      <c r="I311" s="8">
        <v>0</v>
      </c>
      <c r="J311" s="10">
        <v>3</v>
      </c>
    </row>
    <row r="312" spans="1:10" x14ac:dyDescent="0.25">
      <c r="A312" s="8">
        <v>41</v>
      </c>
      <c r="B312" s="5">
        <v>11</v>
      </c>
      <c r="C312" s="5">
        <v>12</v>
      </c>
      <c r="D312" s="5">
        <v>1</v>
      </c>
      <c r="E312" s="4">
        <v>1</v>
      </c>
      <c r="F312" s="4" t="s">
        <v>52</v>
      </c>
      <c r="G312" s="8">
        <v>0</v>
      </c>
      <c r="H312" s="8">
        <v>1</v>
      </c>
      <c r="I312" s="8">
        <v>-0.16840443038939024</v>
      </c>
      <c r="J312" s="10">
        <v>4</v>
      </c>
    </row>
    <row r="313" spans="1:10" x14ac:dyDescent="0.25">
      <c r="A313" s="8">
        <v>42</v>
      </c>
      <c r="B313" s="5">
        <v>7</v>
      </c>
      <c r="C313" s="5">
        <v>10</v>
      </c>
      <c r="D313" s="5">
        <v>8</v>
      </c>
      <c r="E313" s="4">
        <v>1</v>
      </c>
      <c r="F313" s="4" t="s">
        <v>52</v>
      </c>
      <c r="G313" s="8">
        <v>0</v>
      </c>
      <c r="H313" s="8">
        <v>1</v>
      </c>
      <c r="I313" s="8">
        <v>-0.49463550229716818</v>
      </c>
      <c r="J313" s="10">
        <v>4</v>
      </c>
    </row>
    <row r="314" spans="1:10" x14ac:dyDescent="0.25">
      <c r="A314" s="8">
        <v>43</v>
      </c>
      <c r="B314" s="5">
        <v>11</v>
      </c>
      <c r="C314" s="5">
        <v>13</v>
      </c>
      <c r="D314" s="5">
        <v>3</v>
      </c>
      <c r="E314" s="4">
        <v>1</v>
      </c>
      <c r="F314" s="4" t="s">
        <v>52</v>
      </c>
      <c r="G314" s="8">
        <v>0</v>
      </c>
      <c r="H314" s="8">
        <v>2</v>
      </c>
      <c r="I314" s="8">
        <v>0.12970252640436386</v>
      </c>
      <c r="J314" s="10">
        <v>2</v>
      </c>
    </row>
    <row r="315" spans="1:10" x14ac:dyDescent="0.25">
      <c r="A315" s="8">
        <v>44</v>
      </c>
      <c r="B315" s="5">
        <v>10</v>
      </c>
      <c r="C315" s="5">
        <v>13</v>
      </c>
      <c r="D315" s="5">
        <v>6</v>
      </c>
      <c r="E315" s="4">
        <v>1</v>
      </c>
      <c r="F315" s="4" t="s">
        <v>52</v>
      </c>
      <c r="G315" s="8">
        <v>0</v>
      </c>
      <c r="H315" s="8">
        <v>1</v>
      </c>
      <c r="I315" s="8">
        <v>5.2811434473906425E-2</v>
      </c>
      <c r="J315" s="10">
        <v>3</v>
      </c>
    </row>
    <row r="316" spans="1:10" x14ac:dyDescent="0.25">
      <c r="A316" s="8">
        <v>45</v>
      </c>
      <c r="B316" s="5">
        <v>11</v>
      </c>
      <c r="C316" s="5">
        <v>11</v>
      </c>
      <c r="D316" s="5">
        <v>5</v>
      </c>
      <c r="E316" s="4">
        <v>1</v>
      </c>
      <c r="F316" s="4" t="s">
        <v>52</v>
      </c>
      <c r="G316" s="8">
        <v>1</v>
      </c>
      <c r="H316" s="8">
        <v>3</v>
      </c>
      <c r="I316" s="8">
        <v>0</v>
      </c>
      <c r="J316" s="10">
        <v>4</v>
      </c>
    </row>
    <row r="317" spans="1:10" x14ac:dyDescent="0.25">
      <c r="A317" s="8">
        <v>1</v>
      </c>
      <c r="B317" s="5">
        <v>11</v>
      </c>
      <c r="C317" s="5">
        <v>11</v>
      </c>
      <c r="D317" s="5">
        <v>6</v>
      </c>
      <c r="E317" s="4">
        <v>0</v>
      </c>
      <c r="F317" s="4" t="s">
        <v>52</v>
      </c>
      <c r="G317" s="8">
        <v>0</v>
      </c>
      <c r="H317" s="8">
        <v>1</v>
      </c>
      <c r="I317" s="8">
        <v>-1.018224820106199</v>
      </c>
      <c r="J317" s="12">
        <v>3</v>
      </c>
    </row>
    <row r="318" spans="1:10" x14ac:dyDescent="0.25">
      <c r="A318" s="8">
        <v>2</v>
      </c>
      <c r="B318" s="5">
        <v>10</v>
      </c>
      <c r="C318" s="5">
        <v>13</v>
      </c>
      <c r="D318" s="5">
        <v>6</v>
      </c>
      <c r="E318" s="4">
        <v>0</v>
      </c>
      <c r="F318" s="4" t="s">
        <v>52</v>
      </c>
      <c r="G318" s="8">
        <v>0</v>
      </c>
      <c r="H318" s="8">
        <v>1</v>
      </c>
      <c r="I318" s="8">
        <v>-4.1392685158225057E-2</v>
      </c>
      <c r="J318" s="12">
        <v>3</v>
      </c>
    </row>
    <row r="319" spans="1:10" x14ac:dyDescent="0.25">
      <c r="A319" s="8">
        <v>3</v>
      </c>
      <c r="B319" s="5">
        <v>10</v>
      </c>
      <c r="C319" s="5">
        <v>13</v>
      </c>
      <c r="D319" s="5">
        <v>4</v>
      </c>
      <c r="E319" s="4">
        <v>0</v>
      </c>
      <c r="F319" s="4" t="s">
        <v>52</v>
      </c>
      <c r="G319" s="8">
        <v>1</v>
      </c>
      <c r="H319" s="8">
        <v>3</v>
      </c>
      <c r="I319" s="8">
        <v>0</v>
      </c>
      <c r="J319" s="12">
        <v>4</v>
      </c>
    </row>
    <row r="320" spans="1:10" x14ac:dyDescent="0.25">
      <c r="A320" s="8">
        <v>4</v>
      </c>
      <c r="B320" s="5">
        <v>11</v>
      </c>
      <c r="C320" s="5">
        <v>13</v>
      </c>
      <c r="D320" s="5">
        <v>4</v>
      </c>
      <c r="E320" s="4">
        <v>0</v>
      </c>
      <c r="F320" s="4" t="s">
        <v>52</v>
      </c>
      <c r="G320" s="8">
        <v>0</v>
      </c>
      <c r="H320" s="8">
        <v>1</v>
      </c>
      <c r="I320" s="8">
        <v>-4.1392685158225057E-2</v>
      </c>
      <c r="J320" s="12">
        <v>1</v>
      </c>
    </row>
    <row r="321" spans="1:10" x14ac:dyDescent="0.25">
      <c r="A321" s="8">
        <v>5</v>
      </c>
      <c r="B321" s="5">
        <v>6</v>
      </c>
      <c r="C321" s="5">
        <v>12</v>
      </c>
      <c r="D321" s="5">
        <v>2</v>
      </c>
      <c r="E321" s="4">
        <v>0</v>
      </c>
      <c r="F321" s="4" t="s">
        <v>52</v>
      </c>
      <c r="G321" s="8">
        <v>1</v>
      </c>
      <c r="H321" s="8">
        <v>3</v>
      </c>
      <c r="I321" s="8">
        <v>0</v>
      </c>
      <c r="J321" s="12">
        <v>4</v>
      </c>
    </row>
    <row r="322" spans="1:10" x14ac:dyDescent="0.25">
      <c r="A322" s="8">
        <v>6</v>
      </c>
      <c r="B322" s="5">
        <v>10</v>
      </c>
      <c r="C322" s="5">
        <v>12</v>
      </c>
      <c r="D322" s="5">
        <v>2</v>
      </c>
      <c r="E322" s="4">
        <v>0</v>
      </c>
      <c r="F322" s="4" t="s">
        <v>52</v>
      </c>
      <c r="G322" s="8">
        <v>0</v>
      </c>
      <c r="H322" s="8">
        <v>1</v>
      </c>
      <c r="I322" s="8">
        <v>-4.1392685158225057E-2</v>
      </c>
      <c r="J322" s="12">
        <v>4</v>
      </c>
    </row>
    <row r="323" spans="1:10" x14ac:dyDescent="0.25">
      <c r="A323" s="8">
        <v>7</v>
      </c>
      <c r="B323" s="5">
        <v>11</v>
      </c>
      <c r="C323" s="5">
        <v>11</v>
      </c>
      <c r="D323" s="5">
        <v>3</v>
      </c>
      <c r="E323" s="4">
        <v>0</v>
      </c>
      <c r="F323" s="4" t="s">
        <v>52</v>
      </c>
      <c r="G323" s="8">
        <v>0</v>
      </c>
      <c r="H323" s="8">
        <v>1</v>
      </c>
      <c r="I323" s="8">
        <v>-1.018224820106199</v>
      </c>
      <c r="J323" s="12">
        <v>3</v>
      </c>
    </row>
    <row r="324" spans="1:10" x14ac:dyDescent="0.25">
      <c r="A324" s="8">
        <v>8</v>
      </c>
      <c r="B324" s="5">
        <v>11</v>
      </c>
      <c r="C324" s="5">
        <v>11</v>
      </c>
      <c r="D324" s="5">
        <v>1</v>
      </c>
      <c r="E324" s="4">
        <v>0</v>
      </c>
      <c r="F324" s="4" t="s">
        <v>52</v>
      </c>
      <c r="G324" s="8">
        <v>1</v>
      </c>
      <c r="H324" s="8">
        <v>3</v>
      </c>
      <c r="I324" s="8">
        <v>0</v>
      </c>
      <c r="J324" s="12">
        <v>3</v>
      </c>
    </row>
    <row r="325" spans="1:10" x14ac:dyDescent="0.25">
      <c r="A325" s="8">
        <v>9</v>
      </c>
      <c r="B325" s="5">
        <v>11</v>
      </c>
      <c r="C325" s="5">
        <v>13</v>
      </c>
      <c r="D325" s="5">
        <v>5</v>
      </c>
      <c r="E325" s="4">
        <v>0</v>
      </c>
      <c r="F325" s="4" t="s">
        <v>52</v>
      </c>
      <c r="G325" s="8">
        <v>1</v>
      </c>
      <c r="H325" s="8">
        <v>3</v>
      </c>
      <c r="I325" s="8">
        <v>0</v>
      </c>
      <c r="J325" s="12">
        <v>4</v>
      </c>
    </row>
    <row r="326" spans="1:10" x14ac:dyDescent="0.25">
      <c r="A326" s="8">
        <v>10</v>
      </c>
      <c r="B326" s="5">
        <v>11</v>
      </c>
      <c r="C326" s="5">
        <v>13</v>
      </c>
      <c r="D326" s="5">
        <v>1</v>
      </c>
      <c r="E326" s="4">
        <v>0</v>
      </c>
      <c r="F326" s="4" t="s">
        <v>52</v>
      </c>
      <c r="G326" s="8">
        <v>1</v>
      </c>
      <c r="H326" s="8">
        <v>3</v>
      </c>
      <c r="I326" s="8">
        <v>0</v>
      </c>
      <c r="J326" s="12">
        <v>4</v>
      </c>
    </row>
    <row r="327" spans="1:10" x14ac:dyDescent="0.25">
      <c r="A327" s="8">
        <v>11</v>
      </c>
      <c r="B327" s="5">
        <v>11</v>
      </c>
      <c r="C327" s="5">
        <v>11</v>
      </c>
      <c r="D327" s="5">
        <v>7</v>
      </c>
      <c r="E327" s="4">
        <v>0</v>
      </c>
      <c r="F327" s="4" t="s">
        <v>52</v>
      </c>
      <c r="G327" s="8">
        <v>0</v>
      </c>
      <c r="H327" s="8">
        <v>1</v>
      </c>
      <c r="I327" s="8">
        <v>-1.018224820106199</v>
      </c>
      <c r="J327" s="12">
        <v>3</v>
      </c>
    </row>
    <row r="328" spans="1:10" x14ac:dyDescent="0.25">
      <c r="A328" s="8">
        <v>12</v>
      </c>
      <c r="B328" s="5">
        <v>10</v>
      </c>
      <c r="C328" s="5">
        <v>11</v>
      </c>
      <c r="D328" s="5">
        <v>3</v>
      </c>
      <c r="E328" s="4">
        <v>0</v>
      </c>
      <c r="F328" s="4" t="s">
        <v>52</v>
      </c>
      <c r="G328" s="8">
        <v>0</v>
      </c>
      <c r="H328" s="8">
        <v>1</v>
      </c>
      <c r="I328" s="8">
        <v>1.4814860601221125</v>
      </c>
      <c r="J328" s="12">
        <v>2</v>
      </c>
    </row>
    <row r="329" spans="1:10" x14ac:dyDescent="0.25">
      <c r="A329" s="8">
        <v>13</v>
      </c>
      <c r="B329" s="5">
        <v>9</v>
      </c>
      <c r="C329" s="5">
        <v>13</v>
      </c>
      <c r="D329" s="5">
        <v>9</v>
      </c>
      <c r="E329" s="4">
        <v>0</v>
      </c>
      <c r="F329" s="4" t="s">
        <v>52</v>
      </c>
      <c r="G329" s="8">
        <v>0</v>
      </c>
      <c r="H329" s="8">
        <v>0</v>
      </c>
      <c r="I329" s="8">
        <v>-0.48311161840884981</v>
      </c>
      <c r="J329" s="12">
        <v>3</v>
      </c>
    </row>
    <row r="330" spans="1:10" x14ac:dyDescent="0.25">
      <c r="A330" s="8">
        <v>14</v>
      </c>
      <c r="B330" s="5">
        <v>10</v>
      </c>
      <c r="C330" s="5">
        <v>11</v>
      </c>
      <c r="D330" s="5">
        <v>5</v>
      </c>
      <c r="E330" s="4">
        <v>0</v>
      </c>
      <c r="F330" s="4" t="s">
        <v>52</v>
      </c>
      <c r="G330" s="8">
        <v>1</v>
      </c>
      <c r="H330" s="8">
        <v>3</v>
      </c>
      <c r="I330" s="8">
        <v>0</v>
      </c>
      <c r="J330" s="12">
        <v>2</v>
      </c>
    </row>
    <row r="331" spans="1:10" x14ac:dyDescent="0.25">
      <c r="A331" s="8">
        <v>15</v>
      </c>
      <c r="B331" s="5">
        <v>11</v>
      </c>
      <c r="C331" s="5">
        <v>13</v>
      </c>
      <c r="D331" s="5">
        <v>10</v>
      </c>
      <c r="E331" s="4">
        <v>0</v>
      </c>
      <c r="F331" s="4" t="s">
        <v>52</v>
      </c>
      <c r="G331" s="8">
        <v>1</v>
      </c>
      <c r="H331" s="8">
        <v>3</v>
      </c>
      <c r="I331" s="8">
        <v>0</v>
      </c>
      <c r="J331" s="12">
        <v>4</v>
      </c>
    </row>
    <row r="332" spans="1:10" x14ac:dyDescent="0.25">
      <c r="A332" s="8">
        <v>16</v>
      </c>
      <c r="B332" s="5">
        <v>10</v>
      </c>
      <c r="C332" s="5">
        <v>13</v>
      </c>
      <c r="D332" s="5">
        <v>7</v>
      </c>
      <c r="E332" s="4">
        <v>0</v>
      </c>
      <c r="F332" s="4" t="s">
        <v>52</v>
      </c>
      <c r="G332" s="8">
        <v>0</v>
      </c>
      <c r="H332" s="8">
        <v>1</v>
      </c>
      <c r="I332" s="8">
        <v>-4.1392685158225057E-2</v>
      </c>
      <c r="J332" s="12">
        <v>4</v>
      </c>
    </row>
    <row r="333" spans="1:10" x14ac:dyDescent="0.25">
      <c r="A333" s="8">
        <v>17</v>
      </c>
      <c r="B333" s="5">
        <v>10</v>
      </c>
      <c r="C333" s="5">
        <v>12</v>
      </c>
      <c r="D333" s="5">
        <v>8</v>
      </c>
      <c r="E333" s="4">
        <v>0</v>
      </c>
      <c r="F333" s="4" t="s">
        <v>52</v>
      </c>
      <c r="G333" s="8">
        <v>0</v>
      </c>
      <c r="H333" s="8">
        <v>0</v>
      </c>
      <c r="I333" s="8">
        <v>-0.48311161840884981</v>
      </c>
      <c r="J333" s="12">
        <v>3</v>
      </c>
    </row>
    <row r="334" spans="1:10" x14ac:dyDescent="0.25">
      <c r="A334" s="8">
        <v>18</v>
      </c>
      <c r="B334" s="5">
        <v>7</v>
      </c>
      <c r="C334" s="5">
        <v>11</v>
      </c>
      <c r="D334" s="5">
        <v>9</v>
      </c>
      <c r="E334" s="4">
        <v>0</v>
      </c>
      <c r="F334" s="4" t="s">
        <v>52</v>
      </c>
      <c r="G334" s="8">
        <v>0</v>
      </c>
      <c r="H334" s="8">
        <v>1</v>
      </c>
      <c r="I334" s="8">
        <v>1.4814860601221125</v>
      </c>
      <c r="J334" s="12">
        <v>1</v>
      </c>
    </row>
    <row r="335" spans="1:10" x14ac:dyDescent="0.25">
      <c r="A335" s="8">
        <v>19</v>
      </c>
      <c r="B335" s="5">
        <v>10</v>
      </c>
      <c r="C335" s="5">
        <v>9</v>
      </c>
      <c r="D335" s="5">
        <v>6</v>
      </c>
      <c r="E335" s="4">
        <v>0</v>
      </c>
      <c r="F335" s="4" t="s">
        <v>52</v>
      </c>
      <c r="G335" s="8">
        <v>0</v>
      </c>
      <c r="H335" s="8">
        <v>1</v>
      </c>
      <c r="I335" s="8">
        <v>-1.2101103463451122</v>
      </c>
      <c r="J335" s="12">
        <v>4</v>
      </c>
    </row>
    <row r="336" spans="1:10" x14ac:dyDescent="0.25">
      <c r="A336" s="8">
        <v>20</v>
      </c>
      <c r="B336" s="5">
        <v>10</v>
      </c>
      <c r="C336" s="5">
        <v>10</v>
      </c>
      <c r="D336" s="5">
        <v>10</v>
      </c>
      <c r="E336" s="4">
        <v>0</v>
      </c>
      <c r="F336" s="4" t="s">
        <v>52</v>
      </c>
      <c r="G336" s="8">
        <v>1</v>
      </c>
      <c r="H336" s="8">
        <v>3</v>
      </c>
      <c r="I336" s="8">
        <v>0</v>
      </c>
      <c r="J336" s="12">
        <v>4</v>
      </c>
    </row>
    <row r="337" spans="1:10" x14ac:dyDescent="0.25">
      <c r="A337" s="8">
        <v>21</v>
      </c>
      <c r="B337" s="5">
        <v>11</v>
      </c>
      <c r="C337" s="5">
        <v>11</v>
      </c>
      <c r="D337" s="5">
        <v>4</v>
      </c>
      <c r="E337" s="4">
        <v>0</v>
      </c>
      <c r="F337" s="4" t="s">
        <v>52</v>
      </c>
      <c r="G337" s="8">
        <v>1</v>
      </c>
      <c r="H337" s="8">
        <v>3</v>
      </c>
      <c r="I337" s="8">
        <v>0</v>
      </c>
      <c r="J337" s="12">
        <v>4</v>
      </c>
    </row>
    <row r="338" spans="1:10" x14ac:dyDescent="0.25">
      <c r="A338" s="8">
        <v>22</v>
      </c>
      <c r="B338" s="5">
        <v>9</v>
      </c>
      <c r="C338" s="5">
        <v>8</v>
      </c>
      <c r="D338" s="5">
        <v>8</v>
      </c>
      <c r="E338" s="4">
        <v>0</v>
      </c>
      <c r="F338" s="4" t="s">
        <v>52</v>
      </c>
      <c r="G338" s="8">
        <v>0</v>
      </c>
      <c r="H338" s="8">
        <v>1</v>
      </c>
      <c r="I338" s="8">
        <v>-4.1392685158225057E-2</v>
      </c>
      <c r="J338" s="12">
        <v>3</v>
      </c>
    </row>
    <row r="339" spans="1:10" x14ac:dyDescent="0.25">
      <c r="A339" s="8">
        <v>23</v>
      </c>
      <c r="B339" s="5">
        <v>7</v>
      </c>
      <c r="C339" s="5">
        <v>10</v>
      </c>
      <c r="D339" s="5">
        <v>2</v>
      </c>
      <c r="E339" s="4">
        <v>0</v>
      </c>
      <c r="F339" s="4" t="s">
        <v>52</v>
      </c>
      <c r="G339" s="8">
        <v>0</v>
      </c>
      <c r="H339" s="8">
        <v>1</v>
      </c>
      <c r="I339" s="8">
        <v>-3.4653828514484184</v>
      </c>
      <c r="J339" s="12">
        <v>2</v>
      </c>
    </row>
    <row r="340" spans="1:10" x14ac:dyDescent="0.25">
      <c r="A340" s="8">
        <v>24</v>
      </c>
      <c r="B340" s="5">
        <v>10</v>
      </c>
      <c r="C340" s="5">
        <v>12</v>
      </c>
      <c r="D340" s="5">
        <v>1</v>
      </c>
      <c r="E340" s="4">
        <v>0</v>
      </c>
      <c r="F340" s="4" t="s">
        <v>52</v>
      </c>
      <c r="G340" s="8">
        <v>0</v>
      </c>
      <c r="H340" s="8">
        <v>1</v>
      </c>
      <c r="I340" s="8">
        <v>-1.018224820106199</v>
      </c>
      <c r="J340" s="12">
        <v>3</v>
      </c>
    </row>
    <row r="341" spans="1:10" x14ac:dyDescent="0.25">
      <c r="A341" s="8">
        <v>25</v>
      </c>
      <c r="B341" s="5">
        <v>11</v>
      </c>
      <c r="C341" s="5">
        <v>9</v>
      </c>
      <c r="D341" s="5">
        <v>3</v>
      </c>
      <c r="E341" s="4">
        <v>0</v>
      </c>
      <c r="F341" s="4" t="s">
        <v>52</v>
      </c>
      <c r="G341" s="8">
        <v>0</v>
      </c>
      <c r="H341" s="8">
        <v>1</v>
      </c>
      <c r="I341" s="8">
        <v>-1.018224820106199</v>
      </c>
      <c r="J341" s="12">
        <v>4</v>
      </c>
    </row>
    <row r="342" spans="1:10" x14ac:dyDescent="0.25">
      <c r="A342" s="8">
        <v>26</v>
      </c>
      <c r="B342" s="5">
        <v>8</v>
      </c>
      <c r="C342" s="5">
        <v>12</v>
      </c>
      <c r="D342" s="5">
        <v>6</v>
      </c>
      <c r="E342" s="4">
        <v>0</v>
      </c>
      <c r="F342" s="4" t="s">
        <v>52</v>
      </c>
      <c r="G342" s="8">
        <v>0</v>
      </c>
      <c r="H342" s="8">
        <v>1</v>
      </c>
      <c r="I342" s="8">
        <v>1.4814860601221125</v>
      </c>
      <c r="J342" s="12">
        <v>2</v>
      </c>
    </row>
    <row r="343" spans="1:10" x14ac:dyDescent="0.25">
      <c r="A343" s="8">
        <v>27</v>
      </c>
      <c r="B343" s="5">
        <v>9</v>
      </c>
      <c r="C343" s="5">
        <v>10</v>
      </c>
      <c r="D343" s="5">
        <v>5</v>
      </c>
      <c r="E343" s="4">
        <v>0</v>
      </c>
      <c r="F343" s="4" t="s">
        <v>52</v>
      </c>
      <c r="G343" s="8">
        <v>0</v>
      </c>
      <c r="H343" s="8">
        <v>1</v>
      </c>
      <c r="I343" s="8">
        <v>-1.018224820106199</v>
      </c>
      <c r="J343" s="12">
        <v>2</v>
      </c>
    </row>
    <row r="344" spans="1:10" x14ac:dyDescent="0.25">
      <c r="A344" s="8">
        <v>28</v>
      </c>
      <c r="B344" s="5">
        <v>6</v>
      </c>
      <c r="C344" s="5">
        <v>9</v>
      </c>
      <c r="D344" s="5">
        <v>4</v>
      </c>
      <c r="E344" s="4">
        <v>0</v>
      </c>
      <c r="F344" s="4" t="s">
        <v>52</v>
      </c>
      <c r="G344" s="8">
        <v>0</v>
      </c>
      <c r="H344" s="8">
        <v>1</v>
      </c>
      <c r="I344" s="8">
        <v>1.4814860601221125</v>
      </c>
      <c r="J344" s="12">
        <v>2</v>
      </c>
    </row>
    <row r="345" spans="1:10" x14ac:dyDescent="0.25">
      <c r="A345" s="8">
        <v>29</v>
      </c>
      <c r="B345" s="5">
        <v>11</v>
      </c>
      <c r="C345" s="5">
        <v>12</v>
      </c>
      <c r="D345" s="5">
        <v>7</v>
      </c>
      <c r="E345" s="4">
        <v>0</v>
      </c>
      <c r="F345" s="4" t="s">
        <v>52</v>
      </c>
      <c r="G345" s="8">
        <v>0</v>
      </c>
      <c r="H345" s="8">
        <v>1</v>
      </c>
      <c r="I345" s="8">
        <v>0.35852588949590047</v>
      </c>
      <c r="J345" s="12">
        <v>3</v>
      </c>
    </row>
    <row r="346" spans="1:10" x14ac:dyDescent="0.25">
      <c r="A346" s="8">
        <v>30</v>
      </c>
      <c r="B346" s="5">
        <v>7</v>
      </c>
      <c r="C346" s="5">
        <v>6</v>
      </c>
      <c r="D346" s="5">
        <v>2</v>
      </c>
      <c r="E346" s="4">
        <v>0</v>
      </c>
      <c r="F346" s="4" t="s">
        <v>52</v>
      </c>
      <c r="G346" s="8">
        <v>0</v>
      </c>
      <c r="H346" s="8">
        <v>0</v>
      </c>
      <c r="I346" s="8">
        <v>2.6260121224534907</v>
      </c>
      <c r="J346" s="12">
        <v>2</v>
      </c>
    </row>
    <row r="347" spans="1:10" x14ac:dyDescent="0.25">
      <c r="A347" s="8">
        <v>31</v>
      </c>
      <c r="B347" s="5">
        <v>11</v>
      </c>
      <c r="C347" s="5">
        <v>11</v>
      </c>
      <c r="D347" s="5">
        <v>9</v>
      </c>
      <c r="E347" s="4">
        <v>0</v>
      </c>
      <c r="F347" s="4" t="s">
        <v>52</v>
      </c>
      <c r="G347" s="8">
        <v>0</v>
      </c>
      <c r="H347" s="8">
        <v>1</v>
      </c>
      <c r="I347" s="8">
        <v>-1.018224820106199</v>
      </c>
      <c r="J347" s="12">
        <v>4</v>
      </c>
    </row>
    <row r="348" spans="1:10" x14ac:dyDescent="0.25">
      <c r="A348" s="8">
        <v>32</v>
      </c>
      <c r="B348" s="5">
        <v>9</v>
      </c>
      <c r="C348" s="5">
        <v>12</v>
      </c>
      <c r="D348" s="5">
        <v>1</v>
      </c>
      <c r="E348" s="4">
        <v>0</v>
      </c>
      <c r="F348" s="4" t="s">
        <v>52</v>
      </c>
      <c r="G348" s="8">
        <v>0</v>
      </c>
      <c r="H348" s="8">
        <v>1</v>
      </c>
      <c r="I348" s="8">
        <v>-4.1392685158225057E-2</v>
      </c>
      <c r="J348" s="12">
        <v>2</v>
      </c>
    </row>
    <row r="349" spans="1:10" x14ac:dyDescent="0.25">
      <c r="A349" s="8">
        <v>33</v>
      </c>
      <c r="B349" s="5">
        <v>10</v>
      </c>
      <c r="C349" s="5">
        <v>11</v>
      </c>
      <c r="D349" s="5">
        <v>10</v>
      </c>
      <c r="E349" s="4">
        <v>0</v>
      </c>
      <c r="F349" s="4" t="s">
        <v>52</v>
      </c>
      <c r="G349" s="8">
        <v>0</v>
      </c>
      <c r="H349" s="8">
        <v>1</v>
      </c>
      <c r="I349" s="8">
        <v>-4.960531457674053E-4</v>
      </c>
      <c r="J349" s="12">
        <v>4</v>
      </c>
    </row>
    <row r="350" spans="1:10" x14ac:dyDescent="0.25">
      <c r="A350" s="8">
        <v>34</v>
      </c>
      <c r="B350" s="5">
        <v>10</v>
      </c>
      <c r="C350" s="5">
        <v>8</v>
      </c>
      <c r="D350" s="5">
        <v>3</v>
      </c>
      <c r="E350" s="4">
        <v>0</v>
      </c>
      <c r="F350" s="4" t="s">
        <v>52</v>
      </c>
      <c r="G350" s="8">
        <v>0</v>
      </c>
      <c r="H350" s="8">
        <v>1</v>
      </c>
      <c r="I350" s="8">
        <v>-4.1392685158225057E-2</v>
      </c>
      <c r="J350" s="12">
        <v>3</v>
      </c>
    </row>
    <row r="351" spans="1:10" x14ac:dyDescent="0.25">
      <c r="A351" s="8">
        <v>35</v>
      </c>
      <c r="B351" s="5">
        <v>11</v>
      </c>
      <c r="C351" s="5">
        <v>12</v>
      </c>
      <c r="D351" s="5">
        <v>8</v>
      </c>
      <c r="E351" s="4">
        <v>0</v>
      </c>
      <c r="F351" s="4" t="s">
        <v>52</v>
      </c>
      <c r="G351" s="8">
        <v>0</v>
      </c>
      <c r="H351" s="8">
        <v>1</v>
      </c>
      <c r="I351" s="8">
        <v>-1.018224820106199</v>
      </c>
      <c r="J351" s="12">
        <v>4</v>
      </c>
    </row>
    <row r="352" spans="1:10" x14ac:dyDescent="0.25">
      <c r="A352" s="8">
        <v>36</v>
      </c>
      <c r="B352" s="5">
        <v>11</v>
      </c>
      <c r="C352" s="5">
        <v>11</v>
      </c>
      <c r="D352" s="5">
        <v>5</v>
      </c>
      <c r="E352" s="4">
        <v>0</v>
      </c>
      <c r="F352" s="4" t="s">
        <v>52</v>
      </c>
      <c r="G352" s="8">
        <v>0</v>
      </c>
      <c r="H352" s="8">
        <v>1</v>
      </c>
      <c r="I352" s="8">
        <v>5.2146632068984398E-4</v>
      </c>
      <c r="J352" s="12">
        <v>3</v>
      </c>
    </row>
    <row r="353" spans="1:10" x14ac:dyDescent="0.25">
      <c r="A353" s="8">
        <v>37</v>
      </c>
      <c r="B353" s="5">
        <v>9</v>
      </c>
      <c r="C353" s="5">
        <v>12</v>
      </c>
      <c r="D353" s="5">
        <v>6</v>
      </c>
      <c r="E353" s="4">
        <v>0</v>
      </c>
      <c r="F353" s="4" t="s">
        <v>52</v>
      </c>
      <c r="G353" s="8">
        <v>0</v>
      </c>
      <c r="H353" s="8">
        <v>1</v>
      </c>
      <c r="I353" s="8">
        <v>-1.018224820106199</v>
      </c>
      <c r="J353" s="12">
        <v>4</v>
      </c>
    </row>
    <row r="354" spans="1:10" x14ac:dyDescent="0.25">
      <c r="A354" s="8">
        <v>38</v>
      </c>
      <c r="B354" s="5">
        <v>10</v>
      </c>
      <c r="C354" s="5">
        <v>8</v>
      </c>
      <c r="D354" s="5">
        <v>7</v>
      </c>
      <c r="E354" s="4">
        <v>0</v>
      </c>
      <c r="F354" s="4" t="s">
        <v>52</v>
      </c>
      <c r="G354" s="8">
        <v>0</v>
      </c>
      <c r="H354" s="8">
        <v>1</v>
      </c>
      <c r="I354" s="8">
        <v>1.4814860601221125</v>
      </c>
      <c r="J354" s="12">
        <v>3</v>
      </c>
    </row>
    <row r="355" spans="1:10" x14ac:dyDescent="0.25">
      <c r="A355" s="8">
        <v>39</v>
      </c>
      <c r="B355" s="5">
        <v>6</v>
      </c>
      <c r="C355" s="5">
        <v>4</v>
      </c>
      <c r="D355" s="5">
        <v>4</v>
      </c>
      <c r="E355" s="4">
        <v>0</v>
      </c>
      <c r="F355" s="4" t="s">
        <v>52</v>
      </c>
      <c r="G355" s="8">
        <v>0</v>
      </c>
      <c r="H355" s="8">
        <v>0</v>
      </c>
      <c r="I355" s="8">
        <v>-0.52843459719550723</v>
      </c>
      <c r="J355" s="12">
        <v>2</v>
      </c>
    </row>
    <row r="356" spans="1:10" x14ac:dyDescent="0.25">
      <c r="A356" s="8">
        <v>40</v>
      </c>
      <c r="B356" s="5">
        <v>10</v>
      </c>
      <c r="C356" s="5">
        <v>11</v>
      </c>
      <c r="D356" s="5">
        <v>9</v>
      </c>
      <c r="E356" s="4">
        <v>0</v>
      </c>
      <c r="F356" s="4" t="s">
        <v>52</v>
      </c>
      <c r="G356" s="8">
        <v>1</v>
      </c>
      <c r="H356" s="8">
        <v>3</v>
      </c>
      <c r="I356" s="8">
        <v>0</v>
      </c>
      <c r="J356" s="12">
        <v>4</v>
      </c>
    </row>
    <row r="357" spans="1:10" x14ac:dyDescent="0.25">
      <c r="A357" s="8">
        <v>41</v>
      </c>
      <c r="B357" s="5">
        <v>11</v>
      </c>
      <c r="C357" s="5">
        <v>12</v>
      </c>
      <c r="D357" s="5">
        <v>2</v>
      </c>
      <c r="E357" s="4">
        <v>0</v>
      </c>
      <c r="F357" s="4" t="s">
        <v>52</v>
      </c>
      <c r="G357" s="8">
        <v>0</v>
      </c>
      <c r="H357" s="8">
        <v>1</v>
      </c>
      <c r="I357" s="8">
        <v>-1.018224820106199</v>
      </c>
      <c r="J357" s="12">
        <v>3</v>
      </c>
    </row>
    <row r="358" spans="1:10" x14ac:dyDescent="0.25">
      <c r="A358" s="8">
        <v>42</v>
      </c>
      <c r="B358" s="5">
        <v>7</v>
      </c>
      <c r="C358" s="5">
        <v>10</v>
      </c>
      <c r="D358" s="5">
        <v>10</v>
      </c>
      <c r="E358" s="4">
        <v>0</v>
      </c>
      <c r="F358" s="4" t="s">
        <v>52</v>
      </c>
      <c r="G358" s="8">
        <v>0</v>
      </c>
      <c r="H358" s="8">
        <v>1</v>
      </c>
      <c r="I358" s="8">
        <v>-4.1392685158225057E-2</v>
      </c>
      <c r="J358" s="12">
        <v>4</v>
      </c>
    </row>
    <row r="359" spans="1:10" x14ac:dyDescent="0.25">
      <c r="A359" s="8">
        <v>43</v>
      </c>
      <c r="B359" s="5">
        <v>11</v>
      </c>
      <c r="C359" s="5">
        <v>13</v>
      </c>
      <c r="D359" s="5">
        <v>1</v>
      </c>
      <c r="E359" s="4">
        <v>0</v>
      </c>
      <c r="F359" s="4" t="s">
        <v>52</v>
      </c>
      <c r="G359" s="8">
        <v>0</v>
      </c>
      <c r="H359" s="8">
        <v>1</v>
      </c>
      <c r="I359" s="8">
        <v>-1.018224820106199</v>
      </c>
      <c r="J359" s="12">
        <v>2</v>
      </c>
    </row>
    <row r="360" spans="1:10" x14ac:dyDescent="0.25">
      <c r="A360" s="8">
        <v>44</v>
      </c>
      <c r="B360" s="5">
        <v>10</v>
      </c>
      <c r="C360" s="5">
        <v>13</v>
      </c>
      <c r="D360" s="5">
        <v>8</v>
      </c>
      <c r="E360" s="4">
        <v>0</v>
      </c>
      <c r="F360" s="4" t="s">
        <v>52</v>
      </c>
      <c r="G360" s="8">
        <v>1</v>
      </c>
      <c r="H360" s="8">
        <v>3</v>
      </c>
      <c r="I360" s="8">
        <v>0</v>
      </c>
      <c r="J360" s="12">
        <v>2</v>
      </c>
    </row>
    <row r="361" spans="1:10" x14ac:dyDescent="0.25">
      <c r="A361" s="8">
        <v>45</v>
      </c>
      <c r="B361" s="5">
        <v>11</v>
      </c>
      <c r="C361" s="5">
        <v>11</v>
      </c>
      <c r="D361" s="5">
        <v>3</v>
      </c>
      <c r="E361" s="4">
        <v>0</v>
      </c>
      <c r="F361" s="4" t="s">
        <v>52</v>
      </c>
      <c r="G361" s="8">
        <v>1</v>
      </c>
      <c r="H361" s="8">
        <v>3</v>
      </c>
      <c r="I361" s="8">
        <v>0</v>
      </c>
      <c r="J361" s="12">
        <v>4</v>
      </c>
    </row>
    <row r="362" spans="1:10" x14ac:dyDescent="0.25">
      <c r="A362" s="8">
        <v>1</v>
      </c>
      <c r="B362" s="5">
        <v>11</v>
      </c>
      <c r="C362" s="5">
        <v>11</v>
      </c>
      <c r="D362" s="5">
        <v>5</v>
      </c>
      <c r="E362" s="4">
        <v>1</v>
      </c>
      <c r="F362" s="4" t="s">
        <v>227</v>
      </c>
      <c r="G362" s="8">
        <v>0</v>
      </c>
      <c r="H362" s="8">
        <v>1</v>
      </c>
      <c r="I362" s="8">
        <v>-0.16385680263866967</v>
      </c>
      <c r="J362" s="10">
        <v>2</v>
      </c>
    </row>
    <row r="363" spans="1:10" x14ac:dyDescent="0.25">
      <c r="A363" s="8">
        <v>2</v>
      </c>
      <c r="B363" s="5">
        <v>10</v>
      </c>
      <c r="C363" s="5">
        <v>13</v>
      </c>
      <c r="D363" s="5">
        <v>5</v>
      </c>
      <c r="E363" s="4">
        <v>1</v>
      </c>
      <c r="F363" s="4" t="s">
        <v>227</v>
      </c>
      <c r="G363" s="8">
        <v>0</v>
      </c>
      <c r="H363" s="8">
        <v>1</v>
      </c>
      <c r="I363" s="8">
        <v>5.5007093428224609E-2</v>
      </c>
      <c r="J363" s="10">
        <v>3</v>
      </c>
    </row>
    <row r="364" spans="1:10" x14ac:dyDescent="0.25">
      <c r="A364" s="8">
        <v>3</v>
      </c>
      <c r="B364" s="5">
        <v>10</v>
      </c>
      <c r="C364" s="5">
        <v>13</v>
      </c>
      <c r="D364" s="5">
        <v>7</v>
      </c>
      <c r="E364" s="4">
        <v>1</v>
      </c>
      <c r="F364" s="4" t="s">
        <v>227</v>
      </c>
      <c r="G364" s="8">
        <v>1</v>
      </c>
      <c r="H364" s="8">
        <v>3</v>
      </c>
      <c r="I364" s="8">
        <v>0</v>
      </c>
      <c r="J364" s="10">
        <v>3</v>
      </c>
    </row>
    <row r="365" spans="1:10" x14ac:dyDescent="0.25">
      <c r="A365" s="8">
        <v>4</v>
      </c>
      <c r="B365" s="5">
        <v>11</v>
      </c>
      <c r="C365" s="5">
        <v>13</v>
      </c>
      <c r="D365" s="5">
        <v>7</v>
      </c>
      <c r="E365" s="4">
        <v>1</v>
      </c>
      <c r="F365" s="4" t="s">
        <v>227</v>
      </c>
      <c r="G365" s="8">
        <v>1</v>
      </c>
      <c r="H365" s="8">
        <v>3</v>
      </c>
      <c r="I365" s="8">
        <v>0</v>
      </c>
      <c r="J365" s="10">
        <v>3</v>
      </c>
    </row>
    <row r="366" spans="1:10" x14ac:dyDescent="0.25">
      <c r="A366" s="8">
        <v>5</v>
      </c>
      <c r="B366" s="5">
        <v>6</v>
      </c>
      <c r="C366" s="5">
        <v>12</v>
      </c>
      <c r="D366" s="5">
        <v>9</v>
      </c>
      <c r="E366" s="4">
        <v>1</v>
      </c>
      <c r="F366" s="4" t="s">
        <v>227</v>
      </c>
      <c r="G366" s="8">
        <v>0</v>
      </c>
      <c r="H366" s="8">
        <v>1</v>
      </c>
      <c r="I366" s="8">
        <v>0.38898516601911109</v>
      </c>
      <c r="J366" s="10">
        <v>4</v>
      </c>
    </row>
    <row r="367" spans="1:10" x14ac:dyDescent="0.25">
      <c r="A367" s="8">
        <v>6</v>
      </c>
      <c r="B367" s="5">
        <v>10</v>
      </c>
      <c r="C367" s="5">
        <v>12</v>
      </c>
      <c r="D367" s="5">
        <v>9</v>
      </c>
      <c r="E367" s="4">
        <v>1</v>
      </c>
      <c r="F367" s="4" t="s">
        <v>227</v>
      </c>
      <c r="G367" s="8">
        <v>0</v>
      </c>
      <c r="H367" s="8">
        <v>1</v>
      </c>
      <c r="I367" s="8">
        <v>5.5007093428224609E-2</v>
      </c>
      <c r="J367" s="10">
        <v>3</v>
      </c>
    </row>
    <row r="368" spans="1:10" x14ac:dyDescent="0.25">
      <c r="A368" s="8">
        <v>7</v>
      </c>
      <c r="B368" s="5">
        <v>11</v>
      </c>
      <c r="C368" s="5">
        <v>11</v>
      </c>
      <c r="D368" s="5">
        <v>8</v>
      </c>
      <c r="E368" s="4">
        <v>1</v>
      </c>
      <c r="F368" s="4" t="s">
        <v>227</v>
      </c>
      <c r="G368" s="8">
        <v>0</v>
      </c>
      <c r="H368" s="8">
        <v>1</v>
      </c>
      <c r="I368" s="8">
        <v>-0.16385680263866967</v>
      </c>
      <c r="J368" s="10">
        <v>3</v>
      </c>
    </row>
    <row r="369" spans="1:10" x14ac:dyDescent="0.25">
      <c r="A369" s="8">
        <v>8</v>
      </c>
      <c r="B369" s="5">
        <v>11</v>
      </c>
      <c r="C369" s="5">
        <v>11</v>
      </c>
      <c r="D369" s="5">
        <v>10</v>
      </c>
      <c r="E369" s="4">
        <v>1</v>
      </c>
      <c r="F369" s="4" t="s">
        <v>227</v>
      </c>
      <c r="G369" s="8">
        <v>1</v>
      </c>
      <c r="H369" s="8">
        <v>3</v>
      </c>
      <c r="I369" s="8">
        <v>0</v>
      </c>
      <c r="J369" s="10">
        <v>3</v>
      </c>
    </row>
    <row r="370" spans="1:10" x14ac:dyDescent="0.25">
      <c r="A370" s="8">
        <v>9</v>
      </c>
      <c r="B370" s="5">
        <v>11</v>
      </c>
      <c r="C370" s="5">
        <v>13</v>
      </c>
      <c r="D370" s="5">
        <v>6</v>
      </c>
      <c r="E370" s="4">
        <v>1</v>
      </c>
      <c r="F370" s="4" t="s">
        <v>227</v>
      </c>
      <c r="G370" s="8">
        <v>1</v>
      </c>
      <c r="H370" s="8">
        <v>3</v>
      </c>
      <c r="I370" s="8">
        <v>0</v>
      </c>
      <c r="J370" s="10">
        <v>3</v>
      </c>
    </row>
    <row r="371" spans="1:10" x14ac:dyDescent="0.25">
      <c r="A371" s="8">
        <v>10</v>
      </c>
      <c r="B371" s="5">
        <v>11</v>
      </c>
      <c r="C371" s="5">
        <v>13</v>
      </c>
      <c r="D371" s="5">
        <v>10</v>
      </c>
      <c r="E371" s="4">
        <v>1</v>
      </c>
      <c r="F371" s="4" t="s">
        <v>227</v>
      </c>
      <c r="G371" s="8">
        <v>1</v>
      </c>
      <c r="H371" s="8">
        <v>3</v>
      </c>
      <c r="I371" s="8">
        <v>0</v>
      </c>
      <c r="J371" s="10">
        <v>3</v>
      </c>
    </row>
    <row r="372" spans="1:10" x14ac:dyDescent="0.25">
      <c r="A372" s="8">
        <v>11</v>
      </c>
      <c r="B372" s="5">
        <v>11</v>
      </c>
      <c r="C372" s="5">
        <v>11</v>
      </c>
      <c r="D372" s="5">
        <v>4</v>
      </c>
      <c r="E372" s="4">
        <v>1</v>
      </c>
      <c r="F372" s="4" t="s">
        <v>227</v>
      </c>
      <c r="G372" s="8">
        <v>0</v>
      </c>
      <c r="H372" s="8">
        <v>1</v>
      </c>
      <c r="I372" s="8">
        <v>-0.16385680263866967</v>
      </c>
      <c r="J372" s="10">
        <v>3</v>
      </c>
    </row>
    <row r="373" spans="1:10" x14ac:dyDescent="0.25">
      <c r="A373" s="8">
        <v>12</v>
      </c>
      <c r="B373" s="5">
        <v>10</v>
      </c>
      <c r="C373" s="5">
        <v>11</v>
      </c>
      <c r="D373" s="5">
        <v>8</v>
      </c>
      <c r="E373" s="4">
        <v>1</v>
      </c>
      <c r="F373" s="4" t="s">
        <v>227</v>
      </c>
      <c r="G373" s="8">
        <v>0</v>
      </c>
      <c r="H373" s="8">
        <v>1</v>
      </c>
      <c r="I373" s="8">
        <v>5.5007093428224609E-2</v>
      </c>
      <c r="J373" s="10">
        <v>3</v>
      </c>
    </row>
    <row r="374" spans="1:10" x14ac:dyDescent="0.25">
      <c r="A374" s="8">
        <v>13</v>
      </c>
      <c r="B374" s="5">
        <v>9</v>
      </c>
      <c r="C374" s="5">
        <v>13</v>
      </c>
      <c r="D374" s="5">
        <v>2</v>
      </c>
      <c r="E374" s="4">
        <v>1</v>
      </c>
      <c r="F374" s="4" t="s">
        <v>227</v>
      </c>
      <c r="G374" s="8">
        <v>0</v>
      </c>
      <c r="H374" s="8">
        <v>0</v>
      </c>
      <c r="I374" s="8">
        <v>0.988686334642222</v>
      </c>
      <c r="J374" s="10">
        <v>3</v>
      </c>
    </row>
    <row r="375" spans="1:10" x14ac:dyDescent="0.25">
      <c r="A375" s="8">
        <v>14</v>
      </c>
      <c r="B375" s="5">
        <v>10</v>
      </c>
      <c r="C375" s="5">
        <v>11</v>
      </c>
      <c r="D375" s="5">
        <v>6</v>
      </c>
      <c r="E375" s="4">
        <v>1</v>
      </c>
      <c r="F375" s="4" t="s">
        <v>227</v>
      </c>
      <c r="G375" s="8">
        <v>1</v>
      </c>
      <c r="H375" s="8">
        <v>3</v>
      </c>
      <c r="I375" s="8">
        <v>0</v>
      </c>
      <c r="J375" s="10">
        <v>2</v>
      </c>
    </row>
    <row r="376" spans="1:10" x14ac:dyDescent="0.25">
      <c r="A376" s="8">
        <v>15</v>
      </c>
      <c r="B376" s="5">
        <v>11</v>
      </c>
      <c r="C376" s="5">
        <v>13</v>
      </c>
      <c r="D376" s="5">
        <v>1</v>
      </c>
      <c r="E376" s="4">
        <v>1</v>
      </c>
      <c r="F376" s="4" t="s">
        <v>227</v>
      </c>
      <c r="G376" s="8">
        <v>1</v>
      </c>
      <c r="H376" s="8">
        <v>3</v>
      </c>
      <c r="I376" s="8">
        <v>0</v>
      </c>
      <c r="J376" s="10">
        <v>3</v>
      </c>
    </row>
    <row r="377" spans="1:10" x14ac:dyDescent="0.25">
      <c r="A377" s="8">
        <v>16</v>
      </c>
      <c r="B377" s="5">
        <v>10</v>
      </c>
      <c r="C377" s="5">
        <v>13</v>
      </c>
      <c r="D377" s="5">
        <v>4</v>
      </c>
      <c r="E377" s="4">
        <v>1</v>
      </c>
      <c r="F377" s="4" t="s">
        <v>227</v>
      </c>
      <c r="G377" s="8">
        <v>0</v>
      </c>
      <c r="H377" s="8">
        <v>1</v>
      </c>
      <c r="I377" s="8">
        <v>-0.49783487522955622</v>
      </c>
      <c r="J377" s="10">
        <v>3</v>
      </c>
    </row>
    <row r="378" spans="1:10" x14ac:dyDescent="0.25">
      <c r="A378" s="8">
        <v>17</v>
      </c>
      <c r="B378" s="5">
        <v>10</v>
      </c>
      <c r="C378" s="5">
        <v>12</v>
      </c>
      <c r="D378" s="5">
        <v>3</v>
      </c>
      <c r="E378" s="4">
        <v>1</v>
      </c>
      <c r="F378" s="4" t="s">
        <v>227</v>
      </c>
      <c r="G378" s="8">
        <v>0</v>
      </c>
      <c r="H378" s="8">
        <v>0</v>
      </c>
      <c r="I378" s="8">
        <v>0.988686334642222</v>
      </c>
      <c r="J378" s="10">
        <v>2</v>
      </c>
    </row>
    <row r="379" spans="1:10" x14ac:dyDescent="0.25">
      <c r="A379" s="8">
        <v>18</v>
      </c>
      <c r="B379" s="5">
        <v>7</v>
      </c>
      <c r="C379" s="5">
        <v>11</v>
      </c>
      <c r="D379" s="5">
        <v>2</v>
      </c>
      <c r="E379" s="4">
        <v>1</v>
      </c>
      <c r="F379" s="4" t="s">
        <v>227</v>
      </c>
      <c r="G379" s="8">
        <v>0</v>
      </c>
      <c r="H379" s="8">
        <v>1</v>
      </c>
      <c r="I379" s="8">
        <v>5.5007093428224609E-2</v>
      </c>
      <c r="J379" s="10">
        <v>3</v>
      </c>
    </row>
    <row r="380" spans="1:10" x14ac:dyDescent="0.25">
      <c r="A380" s="8">
        <v>19</v>
      </c>
      <c r="B380" s="5">
        <v>10</v>
      </c>
      <c r="C380" s="5">
        <v>9</v>
      </c>
      <c r="D380" s="5">
        <v>5</v>
      </c>
      <c r="E380" s="4">
        <v>1</v>
      </c>
      <c r="F380" s="4" t="s">
        <v>227</v>
      </c>
      <c r="G380" s="8">
        <v>0</v>
      </c>
      <c r="H380" s="8">
        <v>1</v>
      </c>
      <c r="I380" s="8">
        <v>-0.16385680263866967</v>
      </c>
      <c r="J380" s="10">
        <v>4</v>
      </c>
    </row>
    <row r="381" spans="1:10" x14ac:dyDescent="0.25">
      <c r="A381" s="8">
        <v>20</v>
      </c>
      <c r="B381" s="5">
        <v>10</v>
      </c>
      <c r="C381" s="5">
        <v>10</v>
      </c>
      <c r="D381" s="5">
        <v>1</v>
      </c>
      <c r="E381" s="4">
        <v>1</v>
      </c>
      <c r="F381" s="4" t="s">
        <v>227</v>
      </c>
      <c r="G381" s="8">
        <v>1</v>
      </c>
      <c r="H381" s="8">
        <v>3</v>
      </c>
      <c r="I381" s="8">
        <v>0</v>
      </c>
      <c r="J381" s="10">
        <v>4</v>
      </c>
    </row>
    <row r="382" spans="1:10" x14ac:dyDescent="0.25">
      <c r="A382" s="8">
        <v>21</v>
      </c>
      <c r="B382" s="5">
        <v>11</v>
      </c>
      <c r="C382" s="5">
        <v>11</v>
      </c>
      <c r="D382" s="5">
        <v>7</v>
      </c>
      <c r="E382" s="4">
        <v>1</v>
      </c>
      <c r="F382" s="4" t="s">
        <v>227</v>
      </c>
      <c r="G382" s="8">
        <v>1</v>
      </c>
      <c r="H382" s="8">
        <v>3</v>
      </c>
      <c r="I382" s="8">
        <v>0</v>
      </c>
      <c r="J382" s="10">
        <v>2</v>
      </c>
    </row>
    <row r="383" spans="1:10" x14ac:dyDescent="0.25">
      <c r="A383" s="8">
        <v>22</v>
      </c>
      <c r="B383" s="5">
        <v>9</v>
      </c>
      <c r="C383" s="5">
        <v>8</v>
      </c>
      <c r="D383" s="5">
        <v>3</v>
      </c>
      <c r="E383" s="4">
        <v>1</v>
      </c>
      <c r="F383" s="4" t="s">
        <v>227</v>
      </c>
      <c r="G383" s="8">
        <v>0</v>
      </c>
      <c r="H383" s="8">
        <v>0</v>
      </c>
      <c r="I383" s="8">
        <v>-0.36089574013602316</v>
      </c>
      <c r="J383" s="10">
        <v>3</v>
      </c>
    </row>
    <row r="384" spans="1:10" x14ac:dyDescent="0.25">
      <c r="A384" s="8">
        <v>23</v>
      </c>
      <c r="B384" s="5">
        <v>7</v>
      </c>
      <c r="C384" s="5">
        <v>10</v>
      </c>
      <c r="D384" s="5">
        <v>9</v>
      </c>
      <c r="E384" s="4">
        <v>1</v>
      </c>
      <c r="F384" s="4" t="s">
        <v>227</v>
      </c>
      <c r="G384" s="8">
        <v>0</v>
      </c>
      <c r="H384" s="8">
        <v>0</v>
      </c>
      <c r="I384" s="8">
        <v>0.95699121786747587</v>
      </c>
      <c r="J384" s="10">
        <v>1</v>
      </c>
    </row>
    <row r="385" spans="1:10" x14ac:dyDescent="0.25">
      <c r="A385" s="8">
        <v>24</v>
      </c>
      <c r="B385" s="5">
        <v>10</v>
      </c>
      <c r="C385" s="5">
        <v>12</v>
      </c>
      <c r="D385" s="5">
        <v>10</v>
      </c>
      <c r="E385" s="4">
        <v>1</v>
      </c>
      <c r="F385" s="4" t="s">
        <v>227</v>
      </c>
      <c r="G385" s="8">
        <v>0</v>
      </c>
      <c r="H385" s="8">
        <v>1</v>
      </c>
      <c r="I385" s="8">
        <v>-0.16385680263866967</v>
      </c>
      <c r="J385" s="10">
        <v>4</v>
      </c>
    </row>
    <row r="386" spans="1:10" x14ac:dyDescent="0.25">
      <c r="A386" s="8">
        <v>25</v>
      </c>
      <c r="B386" s="5">
        <v>11</v>
      </c>
      <c r="C386" s="5">
        <v>9</v>
      </c>
      <c r="D386" s="5">
        <v>8</v>
      </c>
      <c r="E386" s="4">
        <v>1</v>
      </c>
      <c r="F386" s="4" t="s">
        <v>227</v>
      </c>
      <c r="G386" s="8">
        <v>0</v>
      </c>
      <c r="H386" s="8">
        <v>1</v>
      </c>
      <c r="I386" s="8">
        <v>-0.16385680263866967</v>
      </c>
      <c r="J386" s="10">
        <v>4</v>
      </c>
    </row>
    <row r="387" spans="1:10" x14ac:dyDescent="0.25">
      <c r="A387" s="8">
        <v>26</v>
      </c>
      <c r="B387" s="5">
        <v>8</v>
      </c>
      <c r="C387" s="5">
        <v>12</v>
      </c>
      <c r="D387" s="5">
        <v>5</v>
      </c>
      <c r="E387" s="4">
        <v>1</v>
      </c>
      <c r="F387" s="4" t="s">
        <v>227</v>
      </c>
      <c r="G387" s="8">
        <v>0</v>
      </c>
      <c r="H387" s="8">
        <v>1</v>
      </c>
      <c r="I387" s="8">
        <v>5.5007093428224609E-2</v>
      </c>
      <c r="J387" s="10">
        <v>2</v>
      </c>
    </row>
    <row r="388" spans="1:10" x14ac:dyDescent="0.25">
      <c r="A388" s="8">
        <v>27</v>
      </c>
      <c r="B388" s="5">
        <v>9</v>
      </c>
      <c r="C388" s="5">
        <v>10</v>
      </c>
      <c r="D388" s="5">
        <v>6</v>
      </c>
      <c r="E388" s="4">
        <v>1</v>
      </c>
      <c r="F388" s="4" t="s">
        <v>227</v>
      </c>
      <c r="G388" s="8">
        <v>0</v>
      </c>
      <c r="H388" s="8">
        <v>1</v>
      </c>
      <c r="I388" s="8">
        <v>-0.16385680263866967</v>
      </c>
      <c r="J388" s="10">
        <v>3</v>
      </c>
    </row>
    <row r="389" spans="1:10" x14ac:dyDescent="0.25">
      <c r="A389" s="8">
        <v>28</v>
      </c>
      <c r="B389" s="5">
        <v>6</v>
      </c>
      <c r="C389" s="5">
        <v>9</v>
      </c>
      <c r="D389" s="5">
        <v>7</v>
      </c>
      <c r="E389" s="4">
        <v>1</v>
      </c>
      <c r="F389" s="4" t="s">
        <v>227</v>
      </c>
      <c r="G389" s="8">
        <v>0</v>
      </c>
      <c r="H389" s="8">
        <v>1</v>
      </c>
      <c r="I389" s="8">
        <v>-0.49783487522955622</v>
      </c>
      <c r="J389" s="10">
        <v>2</v>
      </c>
    </row>
    <row r="390" spans="1:10" x14ac:dyDescent="0.25">
      <c r="A390" s="8">
        <v>29</v>
      </c>
      <c r="B390" s="5">
        <v>11</v>
      </c>
      <c r="C390" s="5">
        <v>12</v>
      </c>
      <c r="D390" s="5">
        <v>4</v>
      </c>
      <c r="E390" s="4">
        <v>1</v>
      </c>
      <c r="F390" s="4" t="s">
        <v>227</v>
      </c>
      <c r="G390" s="8">
        <v>0</v>
      </c>
      <c r="H390" s="8">
        <v>1</v>
      </c>
      <c r="I390" s="8">
        <v>-0.16385680263866967</v>
      </c>
      <c r="J390" s="10">
        <v>3</v>
      </c>
    </row>
    <row r="391" spans="1:10" x14ac:dyDescent="0.25">
      <c r="A391" s="8">
        <v>30</v>
      </c>
      <c r="B391" s="5">
        <v>7</v>
      </c>
      <c r="C391" s="5">
        <v>6</v>
      </c>
      <c r="D391" s="5">
        <v>9</v>
      </c>
      <c r="E391" s="4">
        <v>1</v>
      </c>
      <c r="F391" s="4" t="s">
        <v>227</v>
      </c>
      <c r="G391" s="8">
        <v>0</v>
      </c>
      <c r="H391" s="8">
        <v>0</v>
      </c>
      <c r="I391" s="8">
        <v>-0.7816528136691363</v>
      </c>
      <c r="J391" s="10">
        <v>2</v>
      </c>
    </row>
    <row r="392" spans="1:10" x14ac:dyDescent="0.25">
      <c r="A392" s="8">
        <v>31</v>
      </c>
      <c r="B392" s="5">
        <v>11</v>
      </c>
      <c r="C392" s="5">
        <v>11</v>
      </c>
      <c r="D392" s="5">
        <v>2</v>
      </c>
      <c r="E392" s="4">
        <v>1</v>
      </c>
      <c r="F392" s="4" t="s">
        <v>227</v>
      </c>
      <c r="G392" s="8">
        <v>0</v>
      </c>
      <c r="H392" s="8">
        <v>1</v>
      </c>
      <c r="I392" s="8">
        <v>0.38898516601911109</v>
      </c>
      <c r="J392" s="10">
        <v>4</v>
      </c>
    </row>
    <row r="393" spans="1:10" x14ac:dyDescent="0.25">
      <c r="A393" s="8">
        <v>32</v>
      </c>
      <c r="B393" s="5">
        <v>9</v>
      </c>
      <c r="C393" s="5">
        <v>12</v>
      </c>
      <c r="D393" s="5">
        <v>10</v>
      </c>
      <c r="E393" s="4">
        <v>1</v>
      </c>
      <c r="F393" s="4" t="s">
        <v>227</v>
      </c>
      <c r="G393" s="8">
        <v>0</v>
      </c>
      <c r="H393" s="8">
        <v>1</v>
      </c>
      <c r="I393" s="8">
        <v>5.5007093428224609E-2</v>
      </c>
      <c r="J393" s="10">
        <v>3</v>
      </c>
    </row>
    <row r="394" spans="1:10" x14ac:dyDescent="0.25">
      <c r="A394" s="8">
        <v>33</v>
      </c>
      <c r="B394" s="5">
        <v>10</v>
      </c>
      <c r="C394" s="5">
        <v>11</v>
      </c>
      <c r="D394" s="5">
        <v>1</v>
      </c>
      <c r="E394" s="4">
        <v>1</v>
      </c>
      <c r="F394" s="4" t="s">
        <v>227</v>
      </c>
      <c r="G394" s="8">
        <v>0</v>
      </c>
      <c r="H394" s="8">
        <v>2</v>
      </c>
      <c r="I394" s="8">
        <v>3.4053939479597686E-2</v>
      </c>
      <c r="J394" s="10">
        <v>2</v>
      </c>
    </row>
    <row r="395" spans="1:10" x14ac:dyDescent="0.25">
      <c r="A395" s="8">
        <v>34</v>
      </c>
      <c r="B395" s="5">
        <v>10</v>
      </c>
      <c r="C395" s="5">
        <v>8</v>
      </c>
      <c r="D395" s="5">
        <v>8</v>
      </c>
      <c r="E395" s="4">
        <v>1</v>
      </c>
      <c r="F395" s="4" t="s">
        <v>227</v>
      </c>
      <c r="G395" s="8">
        <v>0</v>
      </c>
      <c r="H395" s="8">
        <v>1</v>
      </c>
      <c r="I395" s="8">
        <v>-0.49783487522955622</v>
      </c>
      <c r="J395" s="10">
        <v>3</v>
      </c>
    </row>
    <row r="396" spans="1:10" x14ac:dyDescent="0.25">
      <c r="A396" s="8">
        <v>35</v>
      </c>
      <c r="B396" s="5">
        <v>11</v>
      </c>
      <c r="C396" s="5">
        <v>12</v>
      </c>
      <c r="D396" s="5">
        <v>3</v>
      </c>
      <c r="E396" s="4">
        <v>1</v>
      </c>
      <c r="F396" s="4" t="s">
        <v>227</v>
      </c>
      <c r="G396" s="8">
        <v>0</v>
      </c>
      <c r="H396" s="8">
        <v>1</v>
      </c>
      <c r="I396" s="8">
        <v>-0.16385680263866967</v>
      </c>
      <c r="J396" s="10">
        <v>3</v>
      </c>
    </row>
    <row r="397" spans="1:10" x14ac:dyDescent="0.25">
      <c r="A397" s="8">
        <v>36</v>
      </c>
      <c r="B397" s="5">
        <v>11</v>
      </c>
      <c r="C397" s="5">
        <v>11</v>
      </c>
      <c r="D397" s="5">
        <v>6</v>
      </c>
      <c r="E397" s="4">
        <v>1</v>
      </c>
      <c r="F397" s="4" t="s">
        <v>227</v>
      </c>
      <c r="G397" s="8">
        <v>1</v>
      </c>
      <c r="H397" s="8">
        <v>3</v>
      </c>
      <c r="I397" s="8">
        <v>0</v>
      </c>
      <c r="J397" s="10">
        <v>3</v>
      </c>
    </row>
    <row r="398" spans="1:10" x14ac:dyDescent="0.25">
      <c r="A398" s="8">
        <v>37</v>
      </c>
      <c r="B398" s="5">
        <v>9</v>
      </c>
      <c r="C398" s="5">
        <v>12</v>
      </c>
      <c r="D398" s="5">
        <v>5</v>
      </c>
      <c r="E398" s="4">
        <v>1</v>
      </c>
      <c r="F398" s="4" t="s">
        <v>227</v>
      </c>
      <c r="G398" s="8">
        <v>0</v>
      </c>
      <c r="H398" s="8">
        <v>1</v>
      </c>
      <c r="I398" s="8">
        <v>-0.16385680263866967</v>
      </c>
      <c r="J398" s="10">
        <v>3</v>
      </c>
    </row>
    <row r="399" spans="1:10" x14ac:dyDescent="0.25">
      <c r="A399" s="8">
        <v>38</v>
      </c>
      <c r="B399" s="5">
        <v>10</v>
      </c>
      <c r="C399" s="5">
        <v>8</v>
      </c>
      <c r="D399" s="5">
        <v>4</v>
      </c>
      <c r="E399" s="4">
        <v>1</v>
      </c>
      <c r="F399" s="4" t="s">
        <v>227</v>
      </c>
      <c r="G399" s="8">
        <v>0</v>
      </c>
      <c r="H399" s="8">
        <v>1</v>
      </c>
      <c r="I399" s="8">
        <v>5.5007093428224609E-2</v>
      </c>
      <c r="J399" s="10">
        <v>2</v>
      </c>
    </row>
    <row r="400" spans="1:10" x14ac:dyDescent="0.25">
      <c r="A400" s="8">
        <v>39</v>
      </c>
      <c r="B400" s="5">
        <v>6</v>
      </c>
      <c r="C400" s="5">
        <v>4</v>
      </c>
      <c r="D400" s="5">
        <v>7</v>
      </c>
      <c r="E400" s="4">
        <v>1</v>
      </c>
      <c r="F400" s="4" t="s">
        <v>227</v>
      </c>
      <c r="G400" s="8">
        <v>0</v>
      </c>
      <c r="H400" s="8">
        <v>0</v>
      </c>
      <c r="I400" s="8">
        <v>0.78893115738874731</v>
      </c>
      <c r="J400" s="10">
        <v>3</v>
      </c>
    </row>
    <row r="401" spans="1:10" x14ac:dyDescent="0.25">
      <c r="A401" s="8">
        <v>40</v>
      </c>
      <c r="B401" s="5">
        <v>10</v>
      </c>
      <c r="C401" s="5">
        <v>11</v>
      </c>
      <c r="D401" s="5">
        <v>2</v>
      </c>
      <c r="E401" s="4">
        <v>1</v>
      </c>
      <c r="F401" s="4" t="s">
        <v>227</v>
      </c>
      <c r="G401" s="8">
        <v>1</v>
      </c>
      <c r="H401" s="8">
        <v>3</v>
      </c>
      <c r="I401" s="8">
        <v>0</v>
      </c>
      <c r="J401" s="10">
        <v>3</v>
      </c>
    </row>
    <row r="402" spans="1:10" x14ac:dyDescent="0.25">
      <c r="A402" s="8">
        <v>41</v>
      </c>
      <c r="B402" s="5">
        <v>11</v>
      </c>
      <c r="C402" s="5">
        <v>12</v>
      </c>
      <c r="D402" s="5">
        <v>9</v>
      </c>
      <c r="E402" s="4">
        <v>1</v>
      </c>
      <c r="F402" s="4" t="s">
        <v>227</v>
      </c>
      <c r="G402" s="8">
        <v>0</v>
      </c>
      <c r="H402" s="8">
        <v>1</v>
      </c>
      <c r="I402" s="8">
        <v>-0.16385680263866967</v>
      </c>
      <c r="J402" s="10">
        <v>4</v>
      </c>
    </row>
    <row r="403" spans="1:10" x14ac:dyDescent="0.25">
      <c r="A403" s="8">
        <v>42</v>
      </c>
      <c r="B403" s="5">
        <v>7</v>
      </c>
      <c r="C403" s="5">
        <v>10</v>
      </c>
      <c r="D403" s="5">
        <v>1</v>
      </c>
      <c r="E403" s="4">
        <v>1</v>
      </c>
      <c r="F403" s="4" t="s">
        <v>227</v>
      </c>
      <c r="G403" s="8">
        <v>0</v>
      </c>
      <c r="H403" s="8">
        <v>1</v>
      </c>
      <c r="I403" s="8">
        <v>-0.49783487522955622</v>
      </c>
      <c r="J403" s="10">
        <v>3</v>
      </c>
    </row>
    <row r="404" spans="1:10" x14ac:dyDescent="0.25">
      <c r="A404" s="8">
        <v>43</v>
      </c>
      <c r="B404" s="5">
        <v>11</v>
      </c>
      <c r="C404" s="5">
        <v>13</v>
      </c>
      <c r="D404" s="5">
        <v>10</v>
      </c>
      <c r="E404" s="4">
        <v>1</v>
      </c>
      <c r="F404" s="4" t="s">
        <v>227</v>
      </c>
      <c r="G404" s="8">
        <v>0</v>
      </c>
      <c r="H404" s="8">
        <v>1</v>
      </c>
      <c r="I404" s="8">
        <v>0.23206791479804242</v>
      </c>
      <c r="J404" s="10">
        <v>2</v>
      </c>
    </row>
    <row r="405" spans="1:10" x14ac:dyDescent="0.25">
      <c r="A405" s="8">
        <v>44</v>
      </c>
      <c r="B405" s="5">
        <v>10</v>
      </c>
      <c r="C405" s="5">
        <v>13</v>
      </c>
      <c r="D405" s="5">
        <v>3</v>
      </c>
      <c r="E405" s="4">
        <v>1</v>
      </c>
      <c r="F405" s="4" t="s">
        <v>227</v>
      </c>
      <c r="G405" s="8">
        <v>1</v>
      </c>
      <c r="H405" s="8">
        <v>3</v>
      </c>
      <c r="I405" s="8">
        <v>0</v>
      </c>
      <c r="J405" s="10">
        <v>3</v>
      </c>
    </row>
    <row r="406" spans="1:10" x14ac:dyDescent="0.25">
      <c r="A406" s="8">
        <v>45</v>
      </c>
      <c r="B406" s="5">
        <v>11</v>
      </c>
      <c r="C406" s="5">
        <v>11</v>
      </c>
      <c r="D406" s="5">
        <v>8</v>
      </c>
      <c r="E406" s="4">
        <v>1</v>
      </c>
      <c r="F406" s="4" t="s">
        <v>227</v>
      </c>
      <c r="G406" s="8">
        <v>1</v>
      </c>
      <c r="H406" s="8">
        <v>3</v>
      </c>
      <c r="I406" s="8">
        <v>0</v>
      </c>
      <c r="J406" s="10">
        <v>4</v>
      </c>
    </row>
    <row r="407" spans="1:10" x14ac:dyDescent="0.25">
      <c r="A407" s="8">
        <v>1</v>
      </c>
      <c r="B407" s="5">
        <v>11</v>
      </c>
      <c r="C407" s="5">
        <v>11</v>
      </c>
      <c r="D407" s="5">
        <v>3</v>
      </c>
      <c r="E407" s="4">
        <v>0</v>
      </c>
      <c r="F407" s="4" t="s">
        <v>227</v>
      </c>
      <c r="G407" s="8">
        <v>0</v>
      </c>
      <c r="H407" s="8">
        <v>1</v>
      </c>
      <c r="I407" s="8">
        <v>0.3979400086720376</v>
      </c>
      <c r="J407" s="12">
        <v>3</v>
      </c>
    </row>
    <row r="408" spans="1:10" x14ac:dyDescent="0.25">
      <c r="A408" s="8">
        <v>2</v>
      </c>
      <c r="B408" s="5">
        <v>10</v>
      </c>
      <c r="C408" s="5">
        <v>13</v>
      </c>
      <c r="D408" s="5">
        <v>3</v>
      </c>
      <c r="E408" s="4">
        <v>0</v>
      </c>
      <c r="F408" s="4" t="s">
        <v>227</v>
      </c>
      <c r="G408" s="8">
        <v>0</v>
      </c>
      <c r="H408" s="8">
        <v>1</v>
      </c>
      <c r="I408" s="8">
        <v>1.3467874862246563</v>
      </c>
      <c r="J408" s="12">
        <v>3</v>
      </c>
    </row>
    <row r="409" spans="1:10" x14ac:dyDescent="0.25">
      <c r="A409" s="8">
        <v>3</v>
      </c>
      <c r="B409" s="5">
        <v>10</v>
      </c>
      <c r="C409" s="5">
        <v>13</v>
      </c>
      <c r="D409" s="5">
        <v>5</v>
      </c>
      <c r="E409" s="4">
        <v>0</v>
      </c>
      <c r="F409" s="4" t="s">
        <v>227</v>
      </c>
      <c r="G409" s="8">
        <v>1</v>
      </c>
      <c r="H409" s="8">
        <v>3</v>
      </c>
      <c r="I409" s="8">
        <v>0</v>
      </c>
      <c r="J409" s="12">
        <v>3</v>
      </c>
    </row>
    <row r="410" spans="1:10" x14ac:dyDescent="0.25">
      <c r="A410" s="8">
        <v>4</v>
      </c>
      <c r="B410" s="5">
        <v>11</v>
      </c>
      <c r="C410" s="5">
        <v>13</v>
      </c>
      <c r="D410" s="5">
        <v>5</v>
      </c>
      <c r="E410" s="4">
        <v>0</v>
      </c>
      <c r="F410" s="4" t="s">
        <v>227</v>
      </c>
      <c r="G410" s="8">
        <v>0</v>
      </c>
      <c r="H410" s="8">
        <v>1</v>
      </c>
      <c r="I410" s="8">
        <v>-5.1152522447381256E-2</v>
      </c>
      <c r="J410" s="12">
        <v>4</v>
      </c>
    </row>
    <row r="411" spans="1:10" x14ac:dyDescent="0.25">
      <c r="A411" s="8">
        <v>5</v>
      </c>
      <c r="B411" s="5">
        <v>6</v>
      </c>
      <c r="C411" s="5">
        <v>12</v>
      </c>
      <c r="D411" s="5">
        <v>7</v>
      </c>
      <c r="E411" s="4">
        <v>0</v>
      </c>
      <c r="F411" s="4" t="s">
        <v>227</v>
      </c>
      <c r="G411" s="8">
        <v>1</v>
      </c>
      <c r="H411" s="8">
        <v>3</v>
      </c>
      <c r="I411" s="8">
        <v>0</v>
      </c>
      <c r="J411" s="12">
        <v>4</v>
      </c>
    </row>
    <row r="412" spans="1:10" x14ac:dyDescent="0.25">
      <c r="A412" s="8">
        <v>6</v>
      </c>
      <c r="B412" s="5">
        <v>10</v>
      </c>
      <c r="C412" s="5">
        <v>12</v>
      </c>
      <c r="D412" s="5">
        <v>7</v>
      </c>
      <c r="E412" s="4">
        <v>0</v>
      </c>
      <c r="F412" s="4" t="s">
        <v>227</v>
      </c>
      <c r="G412" s="8">
        <v>0</v>
      </c>
      <c r="H412" s="8">
        <v>1</v>
      </c>
      <c r="I412" s="8">
        <v>1.0737862141609187</v>
      </c>
      <c r="J412" s="12">
        <v>3</v>
      </c>
    </row>
    <row r="413" spans="1:10" x14ac:dyDescent="0.25">
      <c r="A413" s="8">
        <v>7</v>
      </c>
      <c r="B413" s="5">
        <v>11</v>
      </c>
      <c r="C413" s="5">
        <v>11</v>
      </c>
      <c r="D413" s="5">
        <v>10</v>
      </c>
      <c r="E413" s="4">
        <v>0</v>
      </c>
      <c r="F413" s="4" t="s">
        <v>227</v>
      </c>
      <c r="G413" s="8">
        <v>0</v>
      </c>
      <c r="H413" s="8">
        <v>1</v>
      </c>
      <c r="I413" s="8">
        <v>-1</v>
      </c>
      <c r="J413" s="12">
        <v>3</v>
      </c>
    </row>
    <row r="414" spans="1:10" x14ac:dyDescent="0.25">
      <c r="A414" s="8">
        <v>8</v>
      </c>
      <c r="B414" s="5">
        <v>11</v>
      </c>
      <c r="C414" s="5">
        <v>11</v>
      </c>
      <c r="D414" s="5">
        <v>9</v>
      </c>
      <c r="E414" s="4">
        <v>0</v>
      </c>
      <c r="F414" s="4" t="s">
        <v>227</v>
      </c>
      <c r="G414" s="8">
        <v>1</v>
      </c>
      <c r="H414" s="8">
        <v>3</v>
      </c>
      <c r="I414" s="8">
        <v>0</v>
      </c>
      <c r="J414" s="12">
        <v>4</v>
      </c>
    </row>
    <row r="415" spans="1:10" x14ac:dyDescent="0.25">
      <c r="A415" s="8">
        <v>9</v>
      </c>
      <c r="B415" s="5">
        <v>11</v>
      </c>
      <c r="C415" s="5">
        <v>13</v>
      </c>
      <c r="D415" s="5">
        <v>1</v>
      </c>
      <c r="E415" s="4">
        <v>0</v>
      </c>
      <c r="F415" s="4" t="s">
        <v>227</v>
      </c>
      <c r="G415" s="8">
        <v>1</v>
      </c>
      <c r="H415" s="8">
        <v>3</v>
      </c>
      <c r="I415" s="8">
        <v>0</v>
      </c>
      <c r="J415" s="12">
        <v>3</v>
      </c>
    </row>
    <row r="416" spans="1:10" x14ac:dyDescent="0.25">
      <c r="A416" s="8">
        <v>10</v>
      </c>
      <c r="B416" s="5">
        <v>11</v>
      </c>
      <c r="C416" s="5">
        <v>13</v>
      </c>
      <c r="D416" s="5">
        <v>9</v>
      </c>
      <c r="E416" s="4">
        <v>0</v>
      </c>
      <c r="F416" s="4" t="s">
        <v>227</v>
      </c>
      <c r="G416" s="8">
        <v>1</v>
      </c>
      <c r="H416" s="8">
        <v>3</v>
      </c>
      <c r="I416" s="8">
        <v>0</v>
      </c>
      <c r="J416" s="12">
        <v>2</v>
      </c>
    </row>
    <row r="417" spans="1:10" x14ac:dyDescent="0.25">
      <c r="A417" s="8">
        <v>11</v>
      </c>
      <c r="B417" s="5">
        <v>11</v>
      </c>
      <c r="C417" s="5">
        <v>11</v>
      </c>
      <c r="D417" s="5">
        <v>6</v>
      </c>
      <c r="E417" s="4">
        <v>0</v>
      </c>
      <c r="F417" s="4" t="s">
        <v>227</v>
      </c>
      <c r="G417" s="8">
        <v>0</v>
      </c>
      <c r="H417" s="8">
        <v>1</v>
      </c>
      <c r="I417" s="8">
        <v>-1</v>
      </c>
      <c r="J417" s="12">
        <v>3</v>
      </c>
    </row>
    <row r="418" spans="1:10" x14ac:dyDescent="0.25">
      <c r="A418" s="8">
        <v>12</v>
      </c>
      <c r="B418" s="5">
        <v>10</v>
      </c>
      <c r="C418" s="5">
        <v>11</v>
      </c>
      <c r="D418" s="5">
        <v>10</v>
      </c>
      <c r="E418" s="4">
        <v>0</v>
      </c>
      <c r="F418" s="4" t="s">
        <v>227</v>
      </c>
      <c r="G418" s="8">
        <v>0</v>
      </c>
      <c r="H418" s="8">
        <v>1</v>
      </c>
      <c r="I418" s="8">
        <v>1.3467874862246563</v>
      </c>
      <c r="J418" s="12">
        <v>3</v>
      </c>
    </row>
    <row r="419" spans="1:10" x14ac:dyDescent="0.25">
      <c r="A419" s="8">
        <v>13</v>
      </c>
      <c r="B419" s="5">
        <v>9</v>
      </c>
      <c r="C419" s="5">
        <v>13</v>
      </c>
      <c r="D419" s="5">
        <v>4</v>
      </c>
      <c r="E419" s="4">
        <v>0</v>
      </c>
      <c r="F419" s="4" t="s">
        <v>227</v>
      </c>
      <c r="G419" s="8">
        <v>0</v>
      </c>
      <c r="H419" s="8">
        <v>0</v>
      </c>
      <c r="I419" s="8">
        <v>-0.45207153483648621</v>
      </c>
      <c r="J419" s="12">
        <v>3</v>
      </c>
    </row>
    <row r="420" spans="1:10" x14ac:dyDescent="0.25">
      <c r="A420" s="8">
        <v>14</v>
      </c>
      <c r="B420" s="5">
        <v>10</v>
      </c>
      <c r="C420" s="5">
        <v>11</v>
      </c>
      <c r="D420" s="5">
        <v>8</v>
      </c>
      <c r="E420" s="4">
        <v>0</v>
      </c>
      <c r="F420" s="4" t="s">
        <v>227</v>
      </c>
      <c r="G420" s="8">
        <v>1</v>
      </c>
      <c r="H420" s="8">
        <v>3</v>
      </c>
      <c r="I420" s="8">
        <v>0</v>
      </c>
      <c r="J420" s="12">
        <v>3</v>
      </c>
    </row>
    <row r="421" spans="1:10" x14ac:dyDescent="0.25">
      <c r="A421" s="8">
        <v>15</v>
      </c>
      <c r="B421" s="5">
        <v>11</v>
      </c>
      <c r="C421" s="5">
        <v>13</v>
      </c>
      <c r="D421" s="5">
        <v>2</v>
      </c>
      <c r="E421" s="4">
        <v>0</v>
      </c>
      <c r="F421" s="4" t="s">
        <v>227</v>
      </c>
      <c r="G421" s="8">
        <v>1</v>
      </c>
      <c r="H421" s="8">
        <v>3</v>
      </c>
      <c r="I421" s="8">
        <v>0</v>
      </c>
      <c r="J421" s="12">
        <v>4</v>
      </c>
    </row>
    <row r="422" spans="1:10" x14ac:dyDescent="0.25">
      <c r="A422" s="8">
        <v>16</v>
      </c>
      <c r="B422" s="5">
        <v>10</v>
      </c>
      <c r="C422" s="5">
        <v>13</v>
      </c>
      <c r="D422" s="5">
        <v>6</v>
      </c>
      <c r="E422" s="4">
        <v>0</v>
      </c>
      <c r="F422" s="4" t="s">
        <v>227</v>
      </c>
      <c r="G422" s="8">
        <v>0</v>
      </c>
      <c r="H422" s="8">
        <v>1</v>
      </c>
      <c r="I422" s="8">
        <v>-5.1152522447381256E-2</v>
      </c>
      <c r="J422" s="12">
        <v>4</v>
      </c>
    </row>
    <row r="423" spans="1:10" x14ac:dyDescent="0.25">
      <c r="A423" s="8">
        <v>17</v>
      </c>
      <c r="B423" s="5">
        <v>10</v>
      </c>
      <c r="C423" s="5">
        <v>12</v>
      </c>
      <c r="D423" s="5">
        <v>1</v>
      </c>
      <c r="E423" s="4">
        <v>0</v>
      </c>
      <c r="F423" s="4" t="s">
        <v>227</v>
      </c>
      <c r="G423" s="8">
        <v>0</v>
      </c>
      <c r="H423" s="8">
        <v>0</v>
      </c>
      <c r="I423" s="8">
        <v>-0.50951478372235603</v>
      </c>
      <c r="J423" s="12">
        <v>4</v>
      </c>
    </row>
    <row r="424" spans="1:10" x14ac:dyDescent="0.25">
      <c r="A424" s="8">
        <v>18</v>
      </c>
      <c r="B424" s="5">
        <v>7</v>
      </c>
      <c r="C424" s="5">
        <v>11</v>
      </c>
      <c r="D424" s="5">
        <v>4</v>
      </c>
      <c r="E424" s="4">
        <v>0</v>
      </c>
      <c r="F424" s="4" t="s">
        <v>227</v>
      </c>
      <c r="G424" s="8">
        <v>0</v>
      </c>
      <c r="H424" s="8">
        <v>1</v>
      </c>
      <c r="I424" s="8">
        <v>1.3467874862246563</v>
      </c>
      <c r="J424" s="12">
        <v>1</v>
      </c>
    </row>
    <row r="425" spans="1:10" x14ac:dyDescent="0.25">
      <c r="A425" s="8">
        <v>19</v>
      </c>
      <c r="B425" s="5">
        <v>10</v>
      </c>
      <c r="C425" s="5">
        <v>9</v>
      </c>
      <c r="D425" s="5">
        <v>3</v>
      </c>
      <c r="E425" s="4">
        <v>0</v>
      </c>
      <c r="F425" s="4" t="s">
        <v>227</v>
      </c>
      <c r="G425" s="8">
        <v>0</v>
      </c>
      <c r="H425" s="8">
        <v>0</v>
      </c>
      <c r="I425" s="8">
        <v>-0.35593086566452614</v>
      </c>
      <c r="J425" s="12">
        <v>4</v>
      </c>
    </row>
    <row r="426" spans="1:10" x14ac:dyDescent="0.25">
      <c r="A426" s="8">
        <v>20</v>
      </c>
      <c r="B426" s="5">
        <v>10</v>
      </c>
      <c r="C426" s="5">
        <v>10</v>
      </c>
      <c r="D426" s="5">
        <v>2</v>
      </c>
      <c r="E426" s="4">
        <v>0</v>
      </c>
      <c r="F426" s="4" t="s">
        <v>227</v>
      </c>
      <c r="G426" s="8">
        <v>1</v>
      </c>
      <c r="H426" s="8">
        <v>3</v>
      </c>
      <c r="I426" s="8">
        <v>0</v>
      </c>
      <c r="J426" s="12">
        <v>4</v>
      </c>
    </row>
    <row r="427" spans="1:10" x14ac:dyDescent="0.25">
      <c r="A427" s="8">
        <v>21</v>
      </c>
      <c r="B427" s="5">
        <v>11</v>
      </c>
      <c r="C427" s="5">
        <v>11</v>
      </c>
      <c r="D427" s="5">
        <v>5</v>
      </c>
      <c r="E427" s="4">
        <v>0</v>
      </c>
      <c r="F427" s="4" t="s">
        <v>227</v>
      </c>
      <c r="G427" s="8">
        <v>1</v>
      </c>
      <c r="H427" s="8">
        <v>3</v>
      </c>
      <c r="I427" s="8">
        <v>0</v>
      </c>
      <c r="J427" s="12">
        <v>3</v>
      </c>
    </row>
    <row r="428" spans="1:10" x14ac:dyDescent="0.25">
      <c r="A428" s="8">
        <v>22</v>
      </c>
      <c r="B428" s="5">
        <v>9</v>
      </c>
      <c r="C428" s="5">
        <v>8</v>
      </c>
      <c r="D428" s="5">
        <v>1</v>
      </c>
      <c r="E428" s="4">
        <v>0</v>
      </c>
      <c r="F428" s="4" t="s">
        <v>227</v>
      </c>
      <c r="G428" s="8">
        <v>0</v>
      </c>
      <c r="H428" s="8">
        <v>0</v>
      </c>
      <c r="I428" s="8">
        <v>0.64781748188863753</v>
      </c>
      <c r="J428" s="12">
        <v>1</v>
      </c>
    </row>
    <row r="429" spans="1:10" x14ac:dyDescent="0.25">
      <c r="A429" s="8">
        <v>23</v>
      </c>
      <c r="B429" s="5">
        <v>7</v>
      </c>
      <c r="C429" s="5">
        <v>10</v>
      </c>
      <c r="D429" s="5">
        <v>7</v>
      </c>
      <c r="E429" s="4">
        <v>0</v>
      </c>
      <c r="F429" s="4" t="s">
        <v>227</v>
      </c>
      <c r="G429" s="8">
        <v>0</v>
      </c>
      <c r="H429" s="8">
        <v>1</v>
      </c>
      <c r="I429" s="8">
        <v>-1</v>
      </c>
      <c r="J429" s="12">
        <v>4</v>
      </c>
    </row>
    <row r="430" spans="1:10" x14ac:dyDescent="0.25">
      <c r="A430" s="8">
        <v>24</v>
      </c>
      <c r="B430" s="5">
        <v>10</v>
      </c>
      <c r="C430" s="5">
        <v>12</v>
      </c>
      <c r="D430" s="5">
        <v>9</v>
      </c>
      <c r="E430" s="4">
        <v>0</v>
      </c>
      <c r="F430" s="4" t="s">
        <v>227</v>
      </c>
      <c r="G430" s="8">
        <v>0</v>
      </c>
      <c r="H430" s="8">
        <v>1</v>
      </c>
      <c r="I430" s="8">
        <v>-1</v>
      </c>
      <c r="J430" s="12">
        <v>4</v>
      </c>
    </row>
    <row r="431" spans="1:10" x14ac:dyDescent="0.25">
      <c r="A431" s="8">
        <v>25</v>
      </c>
      <c r="B431" s="5">
        <v>11</v>
      </c>
      <c r="C431" s="5">
        <v>9</v>
      </c>
      <c r="D431" s="5">
        <v>10</v>
      </c>
      <c r="E431" s="4">
        <v>0</v>
      </c>
      <c r="F431" s="4" t="s">
        <v>227</v>
      </c>
      <c r="G431" s="8">
        <v>0</v>
      </c>
      <c r="H431" s="8">
        <v>1</v>
      </c>
      <c r="I431" s="8">
        <v>-1</v>
      </c>
      <c r="J431" s="12">
        <v>4</v>
      </c>
    </row>
    <row r="432" spans="1:10" x14ac:dyDescent="0.25">
      <c r="A432" s="8">
        <v>26</v>
      </c>
      <c r="B432" s="5">
        <v>8</v>
      </c>
      <c r="C432" s="5">
        <v>12</v>
      </c>
      <c r="D432" s="5">
        <v>3</v>
      </c>
      <c r="E432" s="4">
        <v>0</v>
      </c>
      <c r="F432" s="4" t="s">
        <v>227</v>
      </c>
      <c r="G432" s="8">
        <v>0</v>
      </c>
      <c r="H432" s="8">
        <v>1</v>
      </c>
      <c r="I432" s="8">
        <v>1.3467874862246563</v>
      </c>
      <c r="J432" s="12">
        <v>2</v>
      </c>
    </row>
    <row r="433" spans="1:10" x14ac:dyDescent="0.25">
      <c r="A433" s="8">
        <v>27</v>
      </c>
      <c r="B433" s="5">
        <v>9</v>
      </c>
      <c r="C433" s="5">
        <v>10</v>
      </c>
      <c r="D433" s="5">
        <v>8</v>
      </c>
      <c r="E433" s="4">
        <v>0</v>
      </c>
      <c r="F433" s="4" t="s">
        <v>227</v>
      </c>
      <c r="G433" s="8">
        <v>0</v>
      </c>
      <c r="H433" s="8">
        <v>1</v>
      </c>
      <c r="I433" s="8">
        <v>-1</v>
      </c>
      <c r="J433" s="12">
        <v>3</v>
      </c>
    </row>
    <row r="434" spans="1:10" x14ac:dyDescent="0.25">
      <c r="A434" s="8">
        <v>28</v>
      </c>
      <c r="B434" s="5">
        <v>6</v>
      </c>
      <c r="C434" s="5">
        <v>9</v>
      </c>
      <c r="D434" s="5">
        <v>5</v>
      </c>
      <c r="E434" s="4">
        <v>0</v>
      </c>
      <c r="F434" s="4" t="s">
        <v>227</v>
      </c>
      <c r="G434" s="8">
        <v>0</v>
      </c>
      <c r="H434" s="8">
        <v>1</v>
      </c>
      <c r="I434" s="8">
        <v>-5.1152522447381256E-2</v>
      </c>
      <c r="J434" s="12">
        <v>2</v>
      </c>
    </row>
    <row r="435" spans="1:10" x14ac:dyDescent="0.25">
      <c r="A435" s="8">
        <v>29</v>
      </c>
      <c r="B435" s="5">
        <v>11</v>
      </c>
      <c r="C435" s="5">
        <v>12</v>
      </c>
      <c r="D435" s="5">
        <v>6</v>
      </c>
      <c r="E435" s="4">
        <v>0</v>
      </c>
      <c r="F435" s="4" t="s">
        <v>227</v>
      </c>
      <c r="G435" s="8">
        <v>1</v>
      </c>
      <c r="H435" s="8">
        <v>3</v>
      </c>
      <c r="I435" s="8">
        <v>0</v>
      </c>
      <c r="J435" s="12">
        <v>2</v>
      </c>
    </row>
    <row r="436" spans="1:10" x14ac:dyDescent="0.25">
      <c r="A436" s="8">
        <v>30</v>
      </c>
      <c r="B436" s="5">
        <v>7</v>
      </c>
      <c r="C436" s="5">
        <v>6</v>
      </c>
      <c r="D436" s="5">
        <v>7</v>
      </c>
      <c r="E436" s="4">
        <v>0</v>
      </c>
      <c r="F436" s="4" t="s">
        <v>227</v>
      </c>
      <c r="G436" s="8">
        <v>0</v>
      </c>
      <c r="H436" s="8">
        <v>0</v>
      </c>
      <c r="I436" s="8">
        <v>0.69696602300009114</v>
      </c>
      <c r="J436" s="12">
        <v>1</v>
      </c>
    </row>
    <row r="437" spans="1:10" x14ac:dyDescent="0.25">
      <c r="A437" s="8">
        <v>31</v>
      </c>
      <c r="B437" s="5">
        <v>11</v>
      </c>
      <c r="C437" s="5">
        <v>11</v>
      </c>
      <c r="D437" s="5">
        <v>4</v>
      </c>
      <c r="E437" s="4">
        <v>0</v>
      </c>
      <c r="F437" s="4" t="s">
        <v>227</v>
      </c>
      <c r="G437" s="8">
        <v>0</v>
      </c>
      <c r="H437" s="8">
        <v>1</v>
      </c>
      <c r="I437" s="8">
        <v>0.3979400086720376</v>
      </c>
      <c r="J437" s="12">
        <v>4</v>
      </c>
    </row>
    <row r="438" spans="1:10" x14ac:dyDescent="0.25">
      <c r="A438" s="8">
        <v>32</v>
      </c>
      <c r="B438" s="5">
        <v>9</v>
      </c>
      <c r="C438" s="5">
        <v>12</v>
      </c>
      <c r="D438" s="5">
        <v>9</v>
      </c>
      <c r="E438" s="4">
        <v>0</v>
      </c>
      <c r="F438" s="4" t="s">
        <v>227</v>
      </c>
      <c r="G438" s="8">
        <v>0</v>
      </c>
      <c r="H438" s="8">
        <v>1</v>
      </c>
      <c r="I438" s="8">
        <v>1.3467874862246563</v>
      </c>
      <c r="J438" s="12">
        <v>3</v>
      </c>
    </row>
    <row r="439" spans="1:10" x14ac:dyDescent="0.25">
      <c r="A439" s="8">
        <v>33</v>
      </c>
      <c r="B439" s="5">
        <v>10</v>
      </c>
      <c r="C439" s="5">
        <v>11</v>
      </c>
      <c r="D439" s="5">
        <v>2</v>
      </c>
      <c r="E439" s="4">
        <v>0</v>
      </c>
      <c r="F439" s="4" t="s">
        <v>227</v>
      </c>
      <c r="G439" s="8">
        <v>0</v>
      </c>
      <c r="H439" s="8">
        <v>2</v>
      </c>
      <c r="I439" s="8">
        <v>-0.5976951859255123</v>
      </c>
      <c r="J439" s="12">
        <v>4</v>
      </c>
    </row>
    <row r="440" spans="1:10" x14ac:dyDescent="0.25">
      <c r="A440" s="8">
        <v>34</v>
      </c>
      <c r="B440" s="5">
        <v>10</v>
      </c>
      <c r="C440" s="5">
        <v>8</v>
      </c>
      <c r="D440" s="5">
        <v>10</v>
      </c>
      <c r="E440" s="4">
        <v>0</v>
      </c>
      <c r="F440" s="4" t="s">
        <v>227</v>
      </c>
      <c r="G440" s="8">
        <v>0</v>
      </c>
      <c r="H440" s="8">
        <v>1</v>
      </c>
      <c r="I440" s="8">
        <v>-5.1152522447381256E-2</v>
      </c>
      <c r="J440" s="12">
        <v>3</v>
      </c>
    </row>
    <row r="441" spans="1:10" x14ac:dyDescent="0.25">
      <c r="A441" s="8">
        <v>35</v>
      </c>
      <c r="B441" s="5">
        <v>11</v>
      </c>
      <c r="C441" s="5">
        <v>12</v>
      </c>
      <c r="D441" s="5">
        <v>1</v>
      </c>
      <c r="E441" s="4">
        <v>0</v>
      </c>
      <c r="F441" s="4" t="s">
        <v>227</v>
      </c>
      <c r="G441" s="8">
        <v>0</v>
      </c>
      <c r="H441" s="8">
        <v>1</v>
      </c>
      <c r="I441" s="8">
        <v>-1</v>
      </c>
      <c r="J441" s="12">
        <v>3</v>
      </c>
    </row>
    <row r="442" spans="1:10" x14ac:dyDescent="0.25">
      <c r="A442" s="8">
        <v>36</v>
      </c>
      <c r="B442" s="5">
        <v>11</v>
      </c>
      <c r="C442" s="5">
        <v>11</v>
      </c>
      <c r="D442" s="5">
        <v>8</v>
      </c>
      <c r="E442" s="4">
        <v>0</v>
      </c>
      <c r="F442" s="4" t="s">
        <v>227</v>
      </c>
      <c r="G442" s="8">
        <v>1</v>
      </c>
      <c r="H442" s="8">
        <v>3</v>
      </c>
      <c r="I442" s="8">
        <v>0</v>
      </c>
      <c r="J442" s="12">
        <v>3</v>
      </c>
    </row>
    <row r="443" spans="1:10" x14ac:dyDescent="0.25">
      <c r="A443" s="8">
        <v>37</v>
      </c>
      <c r="B443" s="5">
        <v>9</v>
      </c>
      <c r="C443" s="5">
        <v>12</v>
      </c>
      <c r="D443" s="5">
        <v>3</v>
      </c>
      <c r="E443" s="4">
        <v>0</v>
      </c>
      <c r="F443" s="4" t="s">
        <v>227</v>
      </c>
      <c r="G443" s="8">
        <v>0</v>
      </c>
      <c r="H443" s="8">
        <v>2</v>
      </c>
      <c r="I443" s="8">
        <v>-1</v>
      </c>
      <c r="J443" s="12">
        <v>3</v>
      </c>
    </row>
    <row r="444" spans="1:10" x14ac:dyDescent="0.25">
      <c r="A444" s="8">
        <v>38</v>
      </c>
      <c r="B444" s="5">
        <v>10</v>
      </c>
      <c r="C444" s="5">
        <v>8</v>
      </c>
      <c r="D444" s="5">
        <v>6</v>
      </c>
      <c r="E444" s="4">
        <v>0</v>
      </c>
      <c r="F444" s="4" t="s">
        <v>227</v>
      </c>
      <c r="G444" s="8">
        <v>0</v>
      </c>
      <c r="H444" s="8">
        <v>1</v>
      </c>
      <c r="I444" s="8">
        <v>1.3467874862246563</v>
      </c>
      <c r="J444" s="12">
        <v>3</v>
      </c>
    </row>
    <row r="445" spans="1:10" x14ac:dyDescent="0.25">
      <c r="A445" s="8">
        <v>39</v>
      </c>
      <c r="B445" s="5">
        <v>6</v>
      </c>
      <c r="C445" s="5">
        <v>4</v>
      </c>
      <c r="D445" s="5">
        <v>5</v>
      </c>
      <c r="E445" s="4">
        <v>0</v>
      </c>
      <c r="F445" s="4" t="s">
        <v>227</v>
      </c>
      <c r="G445" s="8">
        <v>0</v>
      </c>
      <c r="H445" s="8">
        <v>0</v>
      </c>
      <c r="I445" s="8">
        <v>-0.49178601676192446</v>
      </c>
      <c r="J445" s="12">
        <v>3</v>
      </c>
    </row>
    <row r="446" spans="1:10" x14ac:dyDescent="0.25">
      <c r="A446" s="8">
        <v>40</v>
      </c>
      <c r="B446" s="5">
        <v>10</v>
      </c>
      <c r="C446" s="5">
        <v>11</v>
      </c>
      <c r="D446" s="5">
        <v>4</v>
      </c>
      <c r="E446" s="4">
        <v>0</v>
      </c>
      <c r="F446" s="4" t="s">
        <v>227</v>
      </c>
      <c r="G446" s="8">
        <v>0</v>
      </c>
      <c r="H446" s="8">
        <v>1</v>
      </c>
      <c r="I446" s="8">
        <v>0.64781748188863753</v>
      </c>
      <c r="J446" s="12">
        <v>3</v>
      </c>
    </row>
    <row r="447" spans="1:10" x14ac:dyDescent="0.25">
      <c r="A447" s="8">
        <v>41</v>
      </c>
      <c r="B447" s="5">
        <v>11</v>
      </c>
      <c r="C447" s="5">
        <v>12</v>
      </c>
      <c r="D447" s="5">
        <v>7</v>
      </c>
      <c r="E447" s="4">
        <v>0</v>
      </c>
      <c r="F447" s="4" t="s">
        <v>227</v>
      </c>
      <c r="G447" s="8">
        <v>0</v>
      </c>
      <c r="H447" s="8">
        <v>1</v>
      </c>
      <c r="I447" s="8">
        <v>-1</v>
      </c>
      <c r="J447" s="12">
        <v>3</v>
      </c>
    </row>
    <row r="448" spans="1:10" x14ac:dyDescent="0.25">
      <c r="A448" s="8">
        <v>42</v>
      </c>
      <c r="B448" s="5">
        <v>7</v>
      </c>
      <c r="C448" s="5">
        <v>10</v>
      </c>
      <c r="D448" s="5">
        <v>2</v>
      </c>
      <c r="E448" s="4">
        <v>0</v>
      </c>
      <c r="F448" s="4" t="s">
        <v>227</v>
      </c>
      <c r="G448" s="8">
        <v>0</v>
      </c>
      <c r="H448" s="8">
        <v>1</v>
      </c>
      <c r="I448" s="8">
        <v>-5.1152522447381256E-2</v>
      </c>
      <c r="J448" s="12">
        <v>3</v>
      </c>
    </row>
    <row r="449" spans="1:10" x14ac:dyDescent="0.25">
      <c r="A449" s="8">
        <v>43</v>
      </c>
      <c r="B449" s="5">
        <v>11</v>
      </c>
      <c r="C449" s="5">
        <v>13</v>
      </c>
      <c r="D449" s="5">
        <v>9</v>
      </c>
      <c r="E449" s="4">
        <v>0</v>
      </c>
      <c r="F449" s="4" t="s">
        <v>227</v>
      </c>
      <c r="G449" s="8">
        <v>0</v>
      </c>
      <c r="H449" s="8">
        <v>1</v>
      </c>
      <c r="I449" s="8">
        <v>0.3979400086720376</v>
      </c>
      <c r="J449" s="12">
        <v>1</v>
      </c>
    </row>
    <row r="450" spans="1:10" x14ac:dyDescent="0.25">
      <c r="A450" s="8">
        <v>44</v>
      </c>
      <c r="B450" s="5">
        <v>10</v>
      </c>
      <c r="C450" s="5">
        <v>13</v>
      </c>
      <c r="D450" s="5">
        <v>1</v>
      </c>
      <c r="E450" s="4">
        <v>0</v>
      </c>
      <c r="F450" s="4" t="s">
        <v>227</v>
      </c>
      <c r="G450" s="8">
        <v>0</v>
      </c>
      <c r="H450" s="8">
        <v>0</v>
      </c>
      <c r="I450" s="8">
        <v>8.8150203500579838E-2</v>
      </c>
      <c r="J450" s="12">
        <v>1</v>
      </c>
    </row>
    <row r="451" spans="1:10" x14ac:dyDescent="0.25">
      <c r="A451" s="8">
        <v>45</v>
      </c>
      <c r="B451" s="5">
        <v>11</v>
      </c>
      <c r="C451" s="5">
        <v>11</v>
      </c>
      <c r="D451" s="5">
        <v>10</v>
      </c>
      <c r="E451" s="4">
        <v>0</v>
      </c>
      <c r="F451" s="4" t="s">
        <v>227</v>
      </c>
      <c r="G451" s="8">
        <v>1</v>
      </c>
      <c r="H451" s="8">
        <v>3</v>
      </c>
      <c r="I451" s="8">
        <v>0</v>
      </c>
      <c r="J451" s="12">
        <v>4</v>
      </c>
    </row>
    <row r="452" spans="1:10" x14ac:dyDescent="0.25">
      <c r="J452">
        <f>MIN(J2:J451)</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226"/>
  <sheetViews>
    <sheetView topLeftCell="DG100" workbookViewId="0">
      <selection activeCell="DL132" sqref="DL132"/>
    </sheetView>
  </sheetViews>
  <sheetFormatPr defaultRowHeight="15" x14ac:dyDescent="0.25"/>
  <cols>
    <col min="1" max="1" width="10.5703125" bestFit="1" customWidth="1"/>
    <col min="2" max="2" width="10" bestFit="1" customWidth="1"/>
    <col min="3" max="3" width="9.85546875" bestFit="1" customWidth="1"/>
    <col min="4" max="4" width="9.85546875" customWidth="1"/>
    <col min="5" max="5" width="4.85546875" bestFit="1" customWidth="1"/>
    <col min="15" max="15" width="48" customWidth="1"/>
    <col min="17" max="17" width="11.5703125" bestFit="1" customWidth="1"/>
    <col min="18" max="19" width="6.7109375" bestFit="1" customWidth="1"/>
    <col min="20" max="20" width="8.85546875" bestFit="1" customWidth="1"/>
    <col min="21" max="21" width="6.5703125" bestFit="1" customWidth="1"/>
    <col min="22" max="22" width="6" bestFit="1" customWidth="1"/>
    <col min="23" max="23" width="4" bestFit="1" customWidth="1"/>
    <col min="29" max="29" width="14.42578125" bestFit="1" customWidth="1"/>
    <col min="30" max="30" width="8.7109375" bestFit="1" customWidth="1"/>
    <col min="32" max="32" width="7" bestFit="1" customWidth="1"/>
    <col min="33" max="33" width="10.42578125" bestFit="1" customWidth="1"/>
    <col min="46" max="46" width="11.140625" bestFit="1" customWidth="1"/>
    <col min="47" max="47" width="3" bestFit="1" customWidth="1"/>
    <col min="48" max="48" width="3.7109375" bestFit="1" customWidth="1"/>
    <col min="49" max="49" width="3.28515625" bestFit="1" customWidth="1"/>
    <col min="50" max="50" width="5" bestFit="1" customWidth="1"/>
    <col min="51" max="51" width="3.7109375" bestFit="1" customWidth="1"/>
    <col min="52" max="53" width="3" bestFit="1" customWidth="1"/>
    <col min="54" max="54" width="11.140625" bestFit="1" customWidth="1"/>
    <col min="55" max="59" width="3.7109375" bestFit="1" customWidth="1"/>
    <col min="60" max="61" width="3" bestFit="1" customWidth="1"/>
    <col min="62" max="62" width="3.7109375" bestFit="1" customWidth="1"/>
    <col min="63" max="65" width="3" bestFit="1" customWidth="1"/>
    <col min="67" max="67" width="11.140625" bestFit="1" customWidth="1"/>
    <col min="68" max="77" width="3" bestFit="1" customWidth="1"/>
    <col min="80" max="80" width="7.28515625" bestFit="1" customWidth="1"/>
    <col min="81" max="81" width="6.140625" bestFit="1" customWidth="1"/>
    <col min="82" max="82" width="4.42578125" bestFit="1" customWidth="1"/>
    <col min="88" max="88" width="3" bestFit="1" customWidth="1"/>
    <col min="89" max="89" width="5" bestFit="1" customWidth="1"/>
    <col min="90" max="94" width="2" bestFit="1" customWidth="1"/>
    <col min="106" max="106" width="19.42578125" bestFit="1" customWidth="1"/>
    <col min="115" max="115" width="19.5703125" bestFit="1" customWidth="1"/>
  </cols>
  <sheetData>
    <row r="1" spans="1:13" x14ac:dyDescent="0.25">
      <c r="A1" s="8" t="s">
        <v>0</v>
      </c>
      <c r="B1" s="5" t="s">
        <v>1</v>
      </c>
      <c r="C1" s="5" t="s">
        <v>17</v>
      </c>
      <c r="D1" s="4" t="s">
        <v>222</v>
      </c>
      <c r="E1" t="s">
        <v>228</v>
      </c>
      <c r="F1" s="8" t="s">
        <v>229</v>
      </c>
    </row>
    <row r="2" spans="1:13" x14ac:dyDescent="0.25">
      <c r="A2" s="8">
        <v>1</v>
      </c>
      <c r="B2" s="5">
        <v>11</v>
      </c>
      <c r="C2" s="5">
        <v>11</v>
      </c>
      <c r="D2" s="4" t="s">
        <v>51</v>
      </c>
      <c r="E2" s="3">
        <v>1</v>
      </c>
      <c r="F2" s="3">
        <v>-2</v>
      </c>
    </row>
    <row r="3" spans="1:13" x14ac:dyDescent="0.25">
      <c r="A3" s="8">
        <v>2</v>
      </c>
      <c r="B3" s="5">
        <v>10</v>
      </c>
      <c r="C3" s="5">
        <v>13</v>
      </c>
      <c r="D3" s="4" t="s">
        <v>51</v>
      </c>
      <c r="E3" s="3">
        <v>4</v>
      </c>
      <c r="F3" s="3">
        <v>1</v>
      </c>
    </row>
    <row r="4" spans="1:13" x14ac:dyDescent="0.25">
      <c r="A4" s="8">
        <v>3</v>
      </c>
      <c r="B4" s="5">
        <v>10</v>
      </c>
      <c r="C4" s="5">
        <v>13</v>
      </c>
      <c r="D4" s="4" t="s">
        <v>51</v>
      </c>
      <c r="E4" s="3">
        <v>2</v>
      </c>
      <c r="F4" s="3">
        <v>-2</v>
      </c>
    </row>
    <row r="5" spans="1:13" x14ac:dyDescent="0.25">
      <c r="A5" s="8">
        <v>4</v>
      </c>
      <c r="B5" s="5">
        <v>11</v>
      </c>
      <c r="C5" s="5">
        <v>13</v>
      </c>
      <c r="D5" s="4" t="s">
        <v>51</v>
      </c>
      <c r="E5" s="3">
        <v>2</v>
      </c>
      <c r="F5" s="3">
        <v>-1</v>
      </c>
    </row>
    <row r="6" spans="1:13" x14ac:dyDescent="0.25">
      <c r="A6" s="8">
        <v>5</v>
      </c>
      <c r="B6" s="5">
        <v>6</v>
      </c>
      <c r="C6" s="5">
        <v>12</v>
      </c>
      <c r="D6" s="4" t="s">
        <v>51</v>
      </c>
      <c r="E6" s="3">
        <v>2</v>
      </c>
      <c r="F6" s="3">
        <v>-1</v>
      </c>
    </row>
    <row r="7" spans="1:13" x14ac:dyDescent="0.25">
      <c r="A7" s="8">
        <v>6</v>
      </c>
      <c r="B7" s="5">
        <v>10</v>
      </c>
      <c r="C7" s="5">
        <v>12</v>
      </c>
      <c r="D7" s="4" t="s">
        <v>51</v>
      </c>
      <c r="E7" s="3">
        <v>1</v>
      </c>
      <c r="F7" s="3">
        <v>-1</v>
      </c>
    </row>
    <row r="8" spans="1:13" x14ac:dyDescent="0.25">
      <c r="A8" s="8">
        <v>7</v>
      </c>
      <c r="B8" s="5">
        <v>11</v>
      </c>
      <c r="C8" s="5">
        <v>11</v>
      </c>
      <c r="D8" s="4" t="s">
        <v>51</v>
      </c>
      <c r="E8" s="3">
        <v>2</v>
      </c>
      <c r="F8" s="3">
        <v>-2</v>
      </c>
      <c r="K8" s="155" t="s">
        <v>259</v>
      </c>
      <c r="L8" s="153"/>
      <c r="M8" s="154"/>
    </row>
    <row r="9" spans="1:13" x14ac:dyDescent="0.25">
      <c r="A9" s="8">
        <v>8</v>
      </c>
      <c r="B9" s="5">
        <v>11</v>
      </c>
      <c r="C9" s="5">
        <v>11</v>
      </c>
      <c r="D9" s="4" t="s">
        <v>51</v>
      </c>
      <c r="E9" s="3">
        <v>3</v>
      </c>
      <c r="F9" s="3">
        <v>-2</v>
      </c>
      <c r="K9" s="40"/>
      <c r="L9" s="38" t="s">
        <v>119</v>
      </c>
      <c r="M9" s="41" t="s">
        <v>258</v>
      </c>
    </row>
    <row r="10" spans="1:13" x14ac:dyDescent="0.25">
      <c r="A10" s="8">
        <v>9</v>
      </c>
      <c r="B10" s="5">
        <v>11</v>
      </c>
      <c r="C10" s="5">
        <v>13</v>
      </c>
      <c r="D10" s="4" t="s">
        <v>51</v>
      </c>
      <c r="E10" s="3">
        <v>2</v>
      </c>
      <c r="F10" s="3">
        <v>-2</v>
      </c>
      <c r="K10" s="42" t="s">
        <v>232</v>
      </c>
      <c r="L10" s="38">
        <v>0.60399999999999998</v>
      </c>
      <c r="M10" s="41">
        <v>0.64600000000000002</v>
      </c>
    </row>
    <row r="11" spans="1:13" x14ac:dyDescent="0.25">
      <c r="A11" s="8">
        <v>10</v>
      </c>
      <c r="B11" s="5">
        <v>11</v>
      </c>
      <c r="C11" s="5">
        <v>13</v>
      </c>
      <c r="D11" s="4" t="s">
        <v>51</v>
      </c>
      <c r="E11" s="3">
        <v>2</v>
      </c>
      <c r="F11" s="3">
        <v>-2</v>
      </c>
      <c r="K11" s="43" t="s">
        <v>233</v>
      </c>
      <c r="L11" s="44">
        <v>0.27800000000000002</v>
      </c>
      <c r="M11" s="45">
        <v>0.38900000000000001</v>
      </c>
    </row>
    <row r="12" spans="1:13" x14ac:dyDescent="0.25">
      <c r="A12" s="8">
        <v>11</v>
      </c>
      <c r="B12" s="5">
        <v>11</v>
      </c>
      <c r="C12" s="5">
        <v>11</v>
      </c>
      <c r="D12" s="4" t="s">
        <v>51</v>
      </c>
      <c r="E12" s="3">
        <v>4</v>
      </c>
      <c r="F12" s="3">
        <v>-2</v>
      </c>
    </row>
    <row r="13" spans="1:13" x14ac:dyDescent="0.25">
      <c r="A13" s="8">
        <v>12</v>
      </c>
      <c r="B13" s="5">
        <v>10</v>
      </c>
      <c r="C13" s="5">
        <v>11</v>
      </c>
      <c r="D13" s="4" t="s">
        <v>51</v>
      </c>
      <c r="E13" s="3">
        <v>2</v>
      </c>
      <c r="F13" s="3">
        <v>-1</v>
      </c>
    </row>
    <row r="14" spans="1:13" x14ac:dyDescent="0.25">
      <c r="A14" s="8">
        <v>13</v>
      </c>
      <c r="B14" s="5">
        <v>9</v>
      </c>
      <c r="C14" s="5">
        <v>13</v>
      </c>
      <c r="D14" s="4" t="s">
        <v>51</v>
      </c>
      <c r="E14" s="3">
        <v>2</v>
      </c>
      <c r="F14" s="3">
        <v>-2</v>
      </c>
    </row>
    <row r="15" spans="1:13" x14ac:dyDescent="0.25">
      <c r="A15" s="8">
        <v>14</v>
      </c>
      <c r="B15" s="5">
        <v>10</v>
      </c>
      <c r="C15" s="5">
        <v>11</v>
      </c>
      <c r="D15" s="4" t="s">
        <v>51</v>
      </c>
      <c r="E15" s="3">
        <v>2</v>
      </c>
      <c r="F15" s="3">
        <v>-2</v>
      </c>
    </row>
    <row r="16" spans="1:13" x14ac:dyDescent="0.25">
      <c r="A16" s="8">
        <v>15</v>
      </c>
      <c r="B16" s="5">
        <v>11</v>
      </c>
      <c r="C16" s="5">
        <v>13</v>
      </c>
      <c r="D16" s="4" t="s">
        <v>51</v>
      </c>
      <c r="E16" s="3">
        <v>4</v>
      </c>
      <c r="F16" s="3">
        <v>1</v>
      </c>
    </row>
    <row r="17" spans="1:23" x14ac:dyDescent="0.25">
      <c r="A17" s="8">
        <v>16</v>
      </c>
      <c r="B17" s="5">
        <v>10</v>
      </c>
      <c r="C17" s="5">
        <v>13</v>
      </c>
      <c r="D17" s="4" t="s">
        <v>51</v>
      </c>
      <c r="E17" s="3">
        <v>1</v>
      </c>
      <c r="F17" s="3">
        <v>-2</v>
      </c>
    </row>
    <row r="18" spans="1:23" x14ac:dyDescent="0.25">
      <c r="A18" s="8">
        <v>17</v>
      </c>
      <c r="B18" s="5">
        <v>10</v>
      </c>
      <c r="C18" s="5">
        <v>12</v>
      </c>
      <c r="D18" s="4" t="s">
        <v>51</v>
      </c>
      <c r="E18" s="3">
        <v>4</v>
      </c>
      <c r="F18" s="3">
        <v>1</v>
      </c>
    </row>
    <row r="19" spans="1:23" x14ac:dyDescent="0.25">
      <c r="A19" s="8">
        <v>18</v>
      </c>
      <c r="B19" s="5">
        <v>7</v>
      </c>
      <c r="C19" s="5">
        <v>11</v>
      </c>
      <c r="D19" s="4" t="s">
        <v>51</v>
      </c>
      <c r="E19" s="3">
        <v>1</v>
      </c>
      <c r="F19" s="3">
        <v>-2</v>
      </c>
    </row>
    <row r="20" spans="1:23" x14ac:dyDescent="0.25">
      <c r="A20" s="8">
        <v>19</v>
      </c>
      <c r="B20" s="5">
        <v>10</v>
      </c>
      <c r="C20" s="5">
        <v>9</v>
      </c>
      <c r="D20" s="4" t="s">
        <v>51</v>
      </c>
      <c r="E20" s="3">
        <v>2</v>
      </c>
      <c r="F20" s="3">
        <v>-2</v>
      </c>
    </row>
    <row r="21" spans="1:23" x14ac:dyDescent="0.25">
      <c r="A21" s="8">
        <v>20</v>
      </c>
      <c r="B21" s="5">
        <v>10</v>
      </c>
      <c r="C21" s="5">
        <v>10</v>
      </c>
      <c r="D21" s="4" t="s">
        <v>51</v>
      </c>
      <c r="E21" s="3">
        <v>5</v>
      </c>
      <c r="F21" s="3">
        <v>0</v>
      </c>
      <c r="N21" s="30"/>
      <c r="O21" s="31"/>
      <c r="P21" s="31"/>
      <c r="Q21" s="31"/>
      <c r="T21" s="144" t="s">
        <v>262</v>
      </c>
      <c r="U21" s="145"/>
      <c r="V21" s="145"/>
      <c r="W21" s="146"/>
    </row>
    <row r="22" spans="1:23" x14ac:dyDescent="0.25">
      <c r="A22" s="8">
        <v>21</v>
      </c>
      <c r="B22" s="5">
        <v>11</v>
      </c>
      <c r="C22" s="5">
        <v>11</v>
      </c>
      <c r="D22" s="4" t="s">
        <v>51</v>
      </c>
      <c r="E22" s="3">
        <v>2</v>
      </c>
      <c r="F22" s="3">
        <v>-2</v>
      </c>
      <c r="N22" s="29"/>
      <c r="T22" s="42"/>
      <c r="U22" s="50" t="s">
        <v>119</v>
      </c>
      <c r="V22" s="51" t="s">
        <v>258</v>
      </c>
      <c r="W22" s="52" t="s">
        <v>261</v>
      </c>
    </row>
    <row r="23" spans="1:23" x14ac:dyDescent="0.25">
      <c r="A23" s="8">
        <v>22</v>
      </c>
      <c r="B23" s="5">
        <v>9</v>
      </c>
      <c r="C23" s="5">
        <v>8</v>
      </c>
      <c r="D23" s="4" t="s">
        <v>51</v>
      </c>
      <c r="E23" s="3">
        <v>2</v>
      </c>
      <c r="F23" s="3">
        <v>-2</v>
      </c>
      <c r="N23" s="29"/>
      <c r="T23" s="46" t="s">
        <v>263</v>
      </c>
      <c r="U23" s="38">
        <v>66.67</v>
      </c>
      <c r="V23" s="39">
        <v>47.31</v>
      </c>
      <c r="W23" s="41">
        <v>327</v>
      </c>
    </row>
    <row r="24" spans="1:23" x14ac:dyDescent="0.25">
      <c r="A24" s="8">
        <v>23</v>
      </c>
      <c r="B24" s="5">
        <v>7</v>
      </c>
      <c r="C24" s="5">
        <v>10</v>
      </c>
      <c r="D24" s="4" t="s">
        <v>51</v>
      </c>
      <c r="E24" s="3">
        <v>4</v>
      </c>
      <c r="F24" s="3">
        <v>2</v>
      </c>
      <c r="N24" s="29"/>
      <c r="T24" s="53" t="s">
        <v>260</v>
      </c>
      <c r="U24" s="38">
        <v>78.55</v>
      </c>
      <c r="V24" s="39">
        <v>52.15</v>
      </c>
      <c r="W24" s="41">
        <v>123</v>
      </c>
    </row>
    <row r="25" spans="1:23" x14ac:dyDescent="0.25">
      <c r="A25" s="8">
        <v>24</v>
      </c>
      <c r="B25" s="5">
        <v>10</v>
      </c>
      <c r="C25" s="5">
        <v>12</v>
      </c>
      <c r="D25" s="4" t="s">
        <v>51</v>
      </c>
      <c r="E25" s="8">
        <v>2</v>
      </c>
      <c r="F25" s="3">
        <v>-2</v>
      </c>
      <c r="N25" s="29"/>
      <c r="T25" s="54" t="s">
        <v>264</v>
      </c>
      <c r="U25" s="44">
        <v>69.92</v>
      </c>
      <c r="V25" s="55">
        <v>48.91</v>
      </c>
      <c r="W25" s="45">
        <v>450</v>
      </c>
    </row>
    <row r="26" spans="1:23" ht="15.75" thickBot="1" x14ac:dyDescent="0.3">
      <c r="A26" s="8">
        <v>25</v>
      </c>
      <c r="B26" s="5">
        <v>11</v>
      </c>
      <c r="C26" s="5">
        <v>9</v>
      </c>
      <c r="D26" s="4" t="s">
        <v>51</v>
      </c>
      <c r="E26" s="3">
        <v>2</v>
      </c>
      <c r="F26" s="3">
        <v>-2</v>
      </c>
      <c r="J26" s="36" t="s">
        <v>224</v>
      </c>
      <c r="K26" s="37" t="s">
        <v>257</v>
      </c>
      <c r="N26" s="29"/>
      <c r="T26" s="24"/>
      <c r="U26" s="24"/>
      <c r="V26" s="24"/>
      <c r="W26" s="24"/>
    </row>
    <row r="27" spans="1:23" x14ac:dyDescent="0.25">
      <c r="A27" s="8">
        <v>26</v>
      </c>
      <c r="B27" s="5">
        <v>8</v>
      </c>
      <c r="C27" s="5">
        <v>12</v>
      </c>
      <c r="D27" s="4" t="s">
        <v>51</v>
      </c>
      <c r="E27" s="3">
        <v>2</v>
      </c>
      <c r="F27" s="3">
        <v>-2</v>
      </c>
      <c r="J27" s="34">
        <v>0</v>
      </c>
      <c r="K27" s="35">
        <v>65</v>
      </c>
      <c r="N27" s="29"/>
    </row>
    <row r="28" spans="1:23" x14ac:dyDescent="0.25">
      <c r="A28" s="8">
        <v>27</v>
      </c>
      <c r="B28" s="5">
        <v>9</v>
      </c>
      <c r="C28" s="5">
        <v>10</v>
      </c>
      <c r="D28" s="4" t="s">
        <v>51</v>
      </c>
      <c r="E28" s="3">
        <v>2</v>
      </c>
      <c r="F28" s="3">
        <v>-2</v>
      </c>
      <c r="J28" s="34">
        <v>1</v>
      </c>
      <c r="K28" s="35">
        <v>248</v>
      </c>
    </row>
    <row r="29" spans="1:23" x14ac:dyDescent="0.25">
      <c r="A29" s="8">
        <v>28</v>
      </c>
      <c r="B29" s="5">
        <v>6</v>
      </c>
      <c r="C29" s="5">
        <v>9</v>
      </c>
      <c r="D29" s="4" t="s">
        <v>51</v>
      </c>
      <c r="E29" s="3">
        <v>3</v>
      </c>
      <c r="F29" s="3">
        <v>-2</v>
      </c>
      <c r="J29" s="34">
        <v>2</v>
      </c>
      <c r="K29" s="35">
        <v>12</v>
      </c>
    </row>
    <row r="30" spans="1:23" x14ac:dyDescent="0.25">
      <c r="A30" s="8">
        <v>29</v>
      </c>
      <c r="B30" s="5">
        <v>11</v>
      </c>
      <c r="C30" s="5">
        <v>12</v>
      </c>
      <c r="D30" s="4" t="s">
        <v>51</v>
      </c>
      <c r="E30" s="3">
        <v>3</v>
      </c>
      <c r="F30" s="3">
        <v>-2</v>
      </c>
      <c r="J30" s="27">
        <v>3</v>
      </c>
      <c r="K30" s="28">
        <v>125</v>
      </c>
    </row>
    <row r="31" spans="1:23" x14ac:dyDescent="0.25">
      <c r="A31" s="8">
        <v>30</v>
      </c>
      <c r="B31" s="5">
        <v>7</v>
      </c>
      <c r="C31" s="5">
        <v>6</v>
      </c>
      <c r="D31" s="4" t="s">
        <v>51</v>
      </c>
      <c r="E31" s="3">
        <v>1</v>
      </c>
      <c r="F31" s="3">
        <v>-1</v>
      </c>
    </row>
    <row r="32" spans="1:23" x14ac:dyDescent="0.25">
      <c r="A32" s="8">
        <v>31</v>
      </c>
      <c r="B32" s="5">
        <v>11</v>
      </c>
      <c r="C32" s="5">
        <v>11</v>
      </c>
      <c r="D32" s="4" t="s">
        <v>51</v>
      </c>
      <c r="E32" s="3">
        <v>1</v>
      </c>
      <c r="F32" s="3">
        <v>-2</v>
      </c>
    </row>
    <row r="33" spans="1:15" x14ac:dyDescent="0.25">
      <c r="A33" s="8">
        <v>32</v>
      </c>
      <c r="B33" s="5">
        <v>9</v>
      </c>
      <c r="C33" s="5">
        <v>12</v>
      </c>
      <c r="D33" s="4" t="s">
        <v>51</v>
      </c>
      <c r="E33" s="3">
        <v>3</v>
      </c>
      <c r="F33" s="3">
        <v>1</v>
      </c>
      <c r="O33" s="30" t="s">
        <v>254</v>
      </c>
    </row>
    <row r="34" spans="1:15" x14ac:dyDescent="0.25">
      <c r="A34" s="8">
        <v>33</v>
      </c>
      <c r="B34" s="5">
        <v>10</v>
      </c>
      <c r="C34" s="5">
        <v>11</v>
      </c>
      <c r="D34" s="4" t="s">
        <v>51</v>
      </c>
      <c r="E34" s="3">
        <v>1</v>
      </c>
      <c r="F34" s="3">
        <v>-2</v>
      </c>
      <c r="O34" s="29" t="s">
        <v>255</v>
      </c>
    </row>
    <row r="35" spans="1:15" x14ac:dyDescent="0.25">
      <c r="A35" s="8">
        <v>34</v>
      </c>
      <c r="B35" s="5">
        <v>10</v>
      </c>
      <c r="C35" s="5">
        <v>8</v>
      </c>
      <c r="D35" s="4" t="s">
        <v>51</v>
      </c>
      <c r="E35" s="3">
        <v>2</v>
      </c>
      <c r="F35" s="3">
        <v>-2</v>
      </c>
      <c r="O35" t="s">
        <v>256</v>
      </c>
    </row>
    <row r="36" spans="1:15" x14ac:dyDescent="0.25">
      <c r="A36" s="8">
        <v>35</v>
      </c>
      <c r="B36" s="5">
        <v>11</v>
      </c>
      <c r="C36" s="5">
        <v>12</v>
      </c>
      <c r="D36" s="4" t="s">
        <v>51</v>
      </c>
      <c r="E36" s="3">
        <v>2</v>
      </c>
      <c r="F36" s="3">
        <v>-2</v>
      </c>
    </row>
    <row r="37" spans="1:15" x14ac:dyDescent="0.25">
      <c r="A37" s="8">
        <v>36</v>
      </c>
      <c r="B37" s="5">
        <v>11</v>
      </c>
      <c r="C37" s="5">
        <v>11</v>
      </c>
      <c r="D37" s="4" t="s">
        <v>51</v>
      </c>
      <c r="E37" s="3">
        <v>4</v>
      </c>
      <c r="F37" s="3">
        <v>0</v>
      </c>
    </row>
    <row r="38" spans="1:15" x14ac:dyDescent="0.25">
      <c r="A38" s="8">
        <v>37</v>
      </c>
      <c r="B38" s="5">
        <v>9</v>
      </c>
      <c r="C38" s="5">
        <v>12</v>
      </c>
      <c r="D38" s="4" t="s">
        <v>51</v>
      </c>
      <c r="E38" s="3">
        <v>4</v>
      </c>
      <c r="F38" s="3">
        <v>0</v>
      </c>
    </row>
    <row r="39" spans="1:15" x14ac:dyDescent="0.25">
      <c r="A39" s="8">
        <v>38</v>
      </c>
      <c r="B39" s="5">
        <v>10</v>
      </c>
      <c r="C39" s="5">
        <v>8</v>
      </c>
      <c r="D39" s="4" t="s">
        <v>51</v>
      </c>
      <c r="E39" s="3">
        <v>1</v>
      </c>
      <c r="F39" s="3">
        <v>-2</v>
      </c>
    </row>
    <row r="40" spans="1:15" x14ac:dyDescent="0.25">
      <c r="A40" s="8">
        <v>39</v>
      </c>
      <c r="B40" s="5">
        <v>6</v>
      </c>
      <c r="C40" s="5">
        <v>4</v>
      </c>
      <c r="D40" s="4" t="s">
        <v>51</v>
      </c>
      <c r="E40" s="3">
        <v>4</v>
      </c>
      <c r="F40" s="3">
        <v>1</v>
      </c>
    </row>
    <row r="41" spans="1:15" x14ac:dyDescent="0.25">
      <c r="A41" s="8">
        <v>40</v>
      </c>
      <c r="B41" s="5">
        <v>10</v>
      </c>
      <c r="C41" s="5">
        <v>11</v>
      </c>
      <c r="D41" s="4" t="s">
        <v>51</v>
      </c>
      <c r="E41" s="3">
        <v>4</v>
      </c>
      <c r="F41" s="3">
        <v>0</v>
      </c>
    </row>
    <row r="42" spans="1:15" x14ac:dyDescent="0.25">
      <c r="A42" s="8">
        <v>41</v>
      </c>
      <c r="B42" s="5">
        <v>11</v>
      </c>
      <c r="C42" s="5">
        <v>12</v>
      </c>
      <c r="D42" s="4" t="s">
        <v>51</v>
      </c>
      <c r="E42" s="3">
        <v>1</v>
      </c>
      <c r="F42" s="3">
        <v>-2</v>
      </c>
    </row>
    <row r="43" spans="1:15" x14ac:dyDescent="0.25">
      <c r="A43" s="8">
        <v>42</v>
      </c>
      <c r="B43" s="5">
        <v>7</v>
      </c>
      <c r="C43" s="5">
        <v>10</v>
      </c>
      <c r="D43" s="4" t="s">
        <v>51</v>
      </c>
      <c r="E43" s="3">
        <v>4</v>
      </c>
      <c r="F43" s="3">
        <v>-1</v>
      </c>
    </row>
    <row r="44" spans="1:15" x14ac:dyDescent="0.25">
      <c r="A44" s="8">
        <v>43</v>
      </c>
      <c r="B44" s="5">
        <v>11</v>
      </c>
      <c r="C44" s="5">
        <v>13</v>
      </c>
      <c r="D44" s="4" t="s">
        <v>51</v>
      </c>
      <c r="E44" s="3">
        <v>3</v>
      </c>
      <c r="F44" s="3">
        <v>0</v>
      </c>
    </row>
    <row r="45" spans="1:15" x14ac:dyDescent="0.25">
      <c r="A45" s="8">
        <v>44</v>
      </c>
      <c r="B45" s="5">
        <v>10</v>
      </c>
      <c r="C45" s="5">
        <v>13</v>
      </c>
      <c r="D45" s="4" t="s">
        <v>51</v>
      </c>
      <c r="E45" s="3">
        <v>2</v>
      </c>
      <c r="F45" s="3">
        <v>-2</v>
      </c>
    </row>
    <row r="46" spans="1:15" x14ac:dyDescent="0.25">
      <c r="A46" s="8">
        <v>45</v>
      </c>
      <c r="B46" s="5">
        <v>11</v>
      </c>
      <c r="C46" s="5">
        <v>11</v>
      </c>
      <c r="D46" s="4" t="s">
        <v>51</v>
      </c>
      <c r="E46" s="3">
        <v>2</v>
      </c>
      <c r="F46" s="3">
        <v>-1</v>
      </c>
    </row>
    <row r="47" spans="1:15" x14ac:dyDescent="0.25">
      <c r="A47" s="8">
        <v>1</v>
      </c>
      <c r="B47" s="5">
        <v>11</v>
      </c>
      <c r="C47" s="5">
        <v>11</v>
      </c>
      <c r="D47" s="4" t="s">
        <v>52</v>
      </c>
      <c r="E47" s="3">
        <v>2</v>
      </c>
      <c r="F47" s="3">
        <v>-1</v>
      </c>
    </row>
    <row r="48" spans="1:15" x14ac:dyDescent="0.25">
      <c r="A48" s="8">
        <v>2</v>
      </c>
      <c r="B48" s="5">
        <v>10</v>
      </c>
      <c r="C48" s="5">
        <v>13</v>
      </c>
      <c r="D48" s="4" t="s">
        <v>52</v>
      </c>
      <c r="E48" s="3">
        <v>3</v>
      </c>
      <c r="F48" s="3">
        <v>0</v>
      </c>
    </row>
    <row r="49" spans="1:25" x14ac:dyDescent="0.25">
      <c r="A49" s="8">
        <v>3</v>
      </c>
      <c r="B49" s="5">
        <v>10</v>
      </c>
      <c r="C49" s="5">
        <v>13</v>
      </c>
      <c r="D49" s="4" t="s">
        <v>52</v>
      </c>
      <c r="E49" s="3">
        <v>2</v>
      </c>
      <c r="F49" s="3">
        <v>-1</v>
      </c>
    </row>
    <row r="50" spans="1:25" x14ac:dyDescent="0.25">
      <c r="A50" s="8">
        <v>4</v>
      </c>
      <c r="B50" s="5">
        <v>11</v>
      </c>
      <c r="C50" s="5">
        <v>13</v>
      </c>
      <c r="D50" s="4" t="s">
        <v>52</v>
      </c>
      <c r="E50" s="3">
        <v>1</v>
      </c>
      <c r="F50" s="3">
        <v>-2</v>
      </c>
    </row>
    <row r="51" spans="1:25" x14ac:dyDescent="0.25">
      <c r="A51" s="8">
        <v>5</v>
      </c>
      <c r="B51" s="5">
        <v>6</v>
      </c>
      <c r="C51" s="5">
        <v>12</v>
      </c>
      <c r="D51" s="4" t="s">
        <v>52</v>
      </c>
      <c r="E51" s="3">
        <v>1</v>
      </c>
      <c r="F51" s="3">
        <v>-2</v>
      </c>
    </row>
    <row r="52" spans="1:25" x14ac:dyDescent="0.25">
      <c r="A52" s="8">
        <v>6</v>
      </c>
      <c r="B52" s="5">
        <v>10</v>
      </c>
      <c r="C52" s="5">
        <v>12</v>
      </c>
      <c r="D52" s="4" t="s">
        <v>52</v>
      </c>
      <c r="E52" s="3">
        <v>2</v>
      </c>
      <c r="F52" s="3">
        <v>-2</v>
      </c>
    </row>
    <row r="53" spans="1:25" x14ac:dyDescent="0.25">
      <c r="A53" s="8">
        <v>7</v>
      </c>
      <c r="B53" s="5">
        <v>11</v>
      </c>
      <c r="C53" s="5">
        <v>11</v>
      </c>
      <c r="D53" s="4" t="s">
        <v>52</v>
      </c>
      <c r="E53" s="3">
        <v>4</v>
      </c>
      <c r="F53" s="3">
        <v>-1</v>
      </c>
    </row>
    <row r="54" spans="1:25" x14ac:dyDescent="0.25">
      <c r="A54" s="8">
        <v>8</v>
      </c>
      <c r="B54" s="5">
        <v>11</v>
      </c>
      <c r="C54" s="5">
        <v>11</v>
      </c>
      <c r="D54" s="4" t="s">
        <v>52</v>
      </c>
      <c r="E54" s="3">
        <v>4</v>
      </c>
      <c r="F54" s="3">
        <v>0</v>
      </c>
    </row>
    <row r="55" spans="1:25" x14ac:dyDescent="0.25">
      <c r="A55" s="8">
        <v>9</v>
      </c>
      <c r="B55" s="5">
        <v>11</v>
      </c>
      <c r="C55" s="5">
        <v>13</v>
      </c>
      <c r="D55" s="4" t="s">
        <v>52</v>
      </c>
      <c r="E55" s="3">
        <v>3</v>
      </c>
      <c r="F55" s="3">
        <v>-1</v>
      </c>
    </row>
    <row r="56" spans="1:25" x14ac:dyDescent="0.25">
      <c r="A56" s="8">
        <v>10</v>
      </c>
      <c r="B56" s="5">
        <v>11</v>
      </c>
      <c r="C56" s="5">
        <v>13</v>
      </c>
      <c r="D56" s="4" t="s">
        <v>52</v>
      </c>
      <c r="E56" s="3">
        <v>2</v>
      </c>
      <c r="F56" s="3">
        <v>-1</v>
      </c>
      <c r="P56" s="24"/>
      <c r="Q56" s="24"/>
      <c r="R56" s="24"/>
      <c r="S56" s="24"/>
      <c r="T56" s="24"/>
      <c r="U56" s="24"/>
      <c r="V56" s="24"/>
      <c r="W56" s="24"/>
      <c r="X56" s="24"/>
      <c r="Y56" s="24"/>
    </row>
    <row r="57" spans="1:25" x14ac:dyDescent="0.25">
      <c r="A57" s="8">
        <v>11</v>
      </c>
      <c r="B57" s="5">
        <v>11</v>
      </c>
      <c r="C57" s="5">
        <v>11</v>
      </c>
      <c r="D57" s="4" t="s">
        <v>52</v>
      </c>
      <c r="E57" s="3">
        <v>5</v>
      </c>
      <c r="F57" s="3">
        <v>2</v>
      </c>
      <c r="P57" s="24"/>
      <c r="Q57" s="24"/>
      <c r="R57" s="24"/>
      <c r="S57" s="24"/>
      <c r="T57" s="24"/>
      <c r="U57" s="24"/>
      <c r="V57" s="24"/>
      <c r="W57" s="24"/>
      <c r="X57" s="24"/>
      <c r="Y57" s="24"/>
    </row>
    <row r="58" spans="1:25" x14ac:dyDescent="0.25">
      <c r="A58" s="8">
        <v>12</v>
      </c>
      <c r="B58" s="5">
        <v>10</v>
      </c>
      <c r="C58" s="5">
        <v>11</v>
      </c>
      <c r="D58" s="4" t="s">
        <v>52</v>
      </c>
      <c r="E58" s="3">
        <v>1</v>
      </c>
      <c r="F58" s="3">
        <v>-2</v>
      </c>
      <c r="P58" s="24"/>
      <c r="Q58" s="56"/>
      <c r="R58" s="24"/>
      <c r="S58" s="24"/>
      <c r="T58" s="24"/>
      <c r="U58" s="24"/>
      <c r="V58" s="24"/>
      <c r="W58" s="24"/>
      <c r="X58" s="24"/>
      <c r="Y58" s="24"/>
    </row>
    <row r="59" spans="1:25" x14ac:dyDescent="0.25">
      <c r="A59" s="8">
        <v>13</v>
      </c>
      <c r="B59" s="5">
        <v>9</v>
      </c>
      <c r="C59" s="5">
        <v>13</v>
      </c>
      <c r="D59" s="4" t="s">
        <v>52</v>
      </c>
      <c r="E59" s="3">
        <v>3</v>
      </c>
      <c r="F59" s="3">
        <v>-1</v>
      </c>
      <c r="P59" s="24"/>
      <c r="Q59" s="56"/>
      <c r="R59" s="57"/>
      <c r="S59" s="57"/>
      <c r="T59" s="57"/>
      <c r="U59" s="57"/>
      <c r="V59" s="57"/>
      <c r="W59" s="57"/>
      <c r="X59" s="57"/>
      <c r="Y59" s="24"/>
    </row>
    <row r="60" spans="1:25" x14ac:dyDescent="0.25">
      <c r="A60" s="8">
        <v>14</v>
      </c>
      <c r="B60" s="5">
        <v>10</v>
      </c>
      <c r="C60" s="5">
        <v>11</v>
      </c>
      <c r="D60" s="4" t="s">
        <v>52</v>
      </c>
      <c r="E60" s="3">
        <v>4</v>
      </c>
      <c r="F60" s="3">
        <v>1</v>
      </c>
      <c r="P60" s="24"/>
      <c r="Q60" s="56"/>
      <c r="R60" s="57"/>
      <c r="S60" s="57"/>
      <c r="T60" s="57"/>
      <c r="U60" s="57"/>
      <c r="V60" s="57"/>
      <c r="W60" s="57"/>
      <c r="X60" s="57"/>
      <c r="Y60" s="24"/>
    </row>
    <row r="61" spans="1:25" x14ac:dyDescent="0.25">
      <c r="A61" s="8">
        <v>15</v>
      </c>
      <c r="B61" s="5">
        <v>11</v>
      </c>
      <c r="C61" s="5">
        <v>13</v>
      </c>
      <c r="D61" s="4" t="s">
        <v>52</v>
      </c>
      <c r="E61" s="3">
        <v>5</v>
      </c>
      <c r="F61" s="3">
        <v>0</v>
      </c>
      <c r="P61" s="24"/>
      <c r="Q61" s="56"/>
      <c r="R61" s="57"/>
      <c r="S61" s="57"/>
      <c r="T61" s="57"/>
      <c r="U61" s="57"/>
      <c r="V61" s="57"/>
      <c r="W61" s="57"/>
      <c r="X61" s="57"/>
      <c r="Y61" s="24"/>
    </row>
    <row r="62" spans="1:25" x14ac:dyDescent="0.25">
      <c r="A62" s="8">
        <v>16</v>
      </c>
      <c r="B62" s="5">
        <v>10</v>
      </c>
      <c r="C62" s="5">
        <v>13</v>
      </c>
      <c r="D62" s="4" t="s">
        <v>52</v>
      </c>
      <c r="E62" s="3">
        <v>4</v>
      </c>
      <c r="F62" s="3">
        <v>-1</v>
      </c>
      <c r="P62" s="24"/>
      <c r="Q62" s="56"/>
      <c r="R62" s="57"/>
      <c r="S62" s="57"/>
      <c r="T62" s="57"/>
      <c r="U62" s="57"/>
      <c r="V62" s="57"/>
      <c r="W62" s="57"/>
      <c r="X62" s="57"/>
      <c r="Y62" s="24"/>
    </row>
    <row r="63" spans="1:25" x14ac:dyDescent="0.25">
      <c r="A63" s="8">
        <v>17</v>
      </c>
      <c r="B63" s="5">
        <v>10</v>
      </c>
      <c r="C63" s="5">
        <v>12</v>
      </c>
      <c r="D63" s="4" t="s">
        <v>52</v>
      </c>
      <c r="E63" s="3">
        <v>2</v>
      </c>
      <c r="F63" s="3">
        <v>0</v>
      </c>
      <c r="P63" s="24"/>
      <c r="Q63" s="56"/>
      <c r="R63" s="57"/>
      <c r="S63" s="57"/>
      <c r="T63" s="57"/>
      <c r="U63" s="57"/>
      <c r="V63" s="57"/>
      <c r="W63" s="57"/>
      <c r="X63" s="57"/>
      <c r="Y63" s="24"/>
    </row>
    <row r="64" spans="1:25" x14ac:dyDescent="0.25">
      <c r="A64" s="8">
        <v>18</v>
      </c>
      <c r="B64" s="5">
        <v>7</v>
      </c>
      <c r="C64" s="5">
        <v>11</v>
      </c>
      <c r="D64" s="4" t="s">
        <v>52</v>
      </c>
      <c r="E64" s="3">
        <v>4</v>
      </c>
      <c r="F64" s="3">
        <v>-1</v>
      </c>
      <c r="P64" s="24"/>
      <c r="Q64" s="56"/>
      <c r="R64" s="57"/>
      <c r="S64" s="57"/>
      <c r="T64" s="57"/>
      <c r="U64" s="57"/>
      <c r="V64" s="57"/>
      <c r="W64" s="57"/>
      <c r="X64" s="57"/>
      <c r="Y64" s="24"/>
    </row>
    <row r="65" spans="1:25" x14ac:dyDescent="0.25">
      <c r="A65" s="8">
        <v>19</v>
      </c>
      <c r="B65" s="5">
        <v>10</v>
      </c>
      <c r="C65" s="5">
        <v>9</v>
      </c>
      <c r="D65" s="4" t="s">
        <v>52</v>
      </c>
      <c r="E65" s="3">
        <v>4</v>
      </c>
      <c r="F65" s="3">
        <v>0</v>
      </c>
      <c r="P65" s="24"/>
      <c r="Q65" s="56"/>
      <c r="R65" s="57"/>
      <c r="S65" s="57"/>
      <c r="T65" s="57"/>
      <c r="U65" s="57"/>
      <c r="V65" s="57"/>
      <c r="W65" s="57"/>
      <c r="X65" s="57"/>
      <c r="Y65" s="24"/>
    </row>
    <row r="66" spans="1:25" x14ac:dyDescent="0.25">
      <c r="A66" s="8">
        <v>20</v>
      </c>
      <c r="B66" s="5">
        <v>10</v>
      </c>
      <c r="C66" s="5">
        <v>10</v>
      </c>
      <c r="D66" s="4" t="s">
        <v>52</v>
      </c>
      <c r="E66" s="3">
        <v>5</v>
      </c>
      <c r="F66" s="3">
        <v>-2</v>
      </c>
      <c r="P66" s="24"/>
      <c r="Q66" s="56"/>
      <c r="R66" s="57"/>
      <c r="S66" s="57"/>
      <c r="T66" s="57"/>
      <c r="U66" s="57"/>
      <c r="V66" s="57"/>
      <c r="W66" s="57"/>
      <c r="X66" s="57"/>
      <c r="Y66" s="24"/>
    </row>
    <row r="67" spans="1:25" x14ac:dyDescent="0.25">
      <c r="A67" s="8">
        <v>21</v>
      </c>
      <c r="B67" s="5">
        <v>11</v>
      </c>
      <c r="C67" s="5">
        <v>11</v>
      </c>
      <c r="D67" s="4" t="s">
        <v>52</v>
      </c>
      <c r="E67" s="3">
        <v>4</v>
      </c>
      <c r="F67" s="3">
        <v>-1</v>
      </c>
      <c r="P67" s="24"/>
      <c r="Q67" s="56"/>
      <c r="R67" s="57"/>
      <c r="S67" s="57"/>
      <c r="T67" s="57"/>
      <c r="U67" s="57"/>
      <c r="V67" s="57"/>
      <c r="W67" s="57"/>
      <c r="X67" s="57"/>
      <c r="Y67" s="24"/>
    </row>
    <row r="68" spans="1:25" x14ac:dyDescent="0.25">
      <c r="A68" s="8">
        <v>22</v>
      </c>
      <c r="B68" s="5">
        <v>9</v>
      </c>
      <c r="C68" s="5">
        <v>8</v>
      </c>
      <c r="D68" s="4" t="s">
        <v>52</v>
      </c>
      <c r="E68" s="3">
        <v>4</v>
      </c>
      <c r="F68" s="3">
        <v>1</v>
      </c>
      <c r="P68" s="24"/>
      <c r="Q68" s="156" t="s">
        <v>280</v>
      </c>
      <c r="R68" s="157"/>
      <c r="S68" s="157"/>
      <c r="T68" s="157"/>
      <c r="U68" s="158"/>
      <c r="V68" s="57"/>
      <c r="W68" s="57"/>
      <c r="X68" s="57"/>
      <c r="Y68" s="24"/>
    </row>
    <row r="69" spans="1:25" x14ac:dyDescent="0.25">
      <c r="A69" s="8">
        <v>23</v>
      </c>
      <c r="B69" s="5">
        <v>7</v>
      </c>
      <c r="C69" s="5">
        <v>10</v>
      </c>
      <c r="D69" s="4" t="s">
        <v>52</v>
      </c>
      <c r="E69" s="3">
        <v>4</v>
      </c>
      <c r="F69" s="3">
        <v>1</v>
      </c>
      <c r="Q69" s="58"/>
      <c r="R69" s="50" t="s">
        <v>275</v>
      </c>
      <c r="S69" s="51" t="s">
        <v>276</v>
      </c>
      <c r="T69" s="51" t="s">
        <v>277</v>
      </c>
      <c r="U69" s="52" t="s">
        <v>278</v>
      </c>
    </row>
    <row r="70" spans="1:25" x14ac:dyDescent="0.25">
      <c r="A70" s="8">
        <v>24</v>
      </c>
      <c r="B70" s="5">
        <v>10</v>
      </c>
      <c r="C70" s="5">
        <v>12</v>
      </c>
      <c r="D70" s="4" t="s">
        <v>52</v>
      </c>
      <c r="E70" s="8">
        <v>2</v>
      </c>
      <c r="F70" s="3">
        <v>-1</v>
      </c>
      <c r="Q70" s="59" t="s">
        <v>265</v>
      </c>
      <c r="R70" s="38">
        <v>6.01</v>
      </c>
      <c r="S70" s="39">
        <v>-11.81</v>
      </c>
      <c r="T70" s="39">
        <v>23.83</v>
      </c>
      <c r="U70" s="41">
        <v>0.88</v>
      </c>
    </row>
    <row r="71" spans="1:25" x14ac:dyDescent="0.25">
      <c r="A71" s="8">
        <v>25</v>
      </c>
      <c r="B71" s="5">
        <v>11</v>
      </c>
      <c r="C71" s="5">
        <v>9</v>
      </c>
      <c r="D71" s="4" t="s">
        <v>52</v>
      </c>
      <c r="E71" s="3">
        <v>1</v>
      </c>
      <c r="F71" s="3">
        <v>-1</v>
      </c>
      <c r="Q71" s="59" t="s">
        <v>266</v>
      </c>
      <c r="R71" s="38">
        <v>6.3</v>
      </c>
      <c r="S71" s="39">
        <v>-11.49</v>
      </c>
      <c r="T71" s="39">
        <v>24.15</v>
      </c>
      <c r="U71" s="41">
        <v>0.86</v>
      </c>
    </row>
    <row r="72" spans="1:25" x14ac:dyDescent="0.25">
      <c r="A72" s="8">
        <v>26</v>
      </c>
      <c r="B72" s="5">
        <v>8</v>
      </c>
      <c r="C72" s="5">
        <v>12</v>
      </c>
      <c r="D72" s="4" t="s">
        <v>52</v>
      </c>
      <c r="E72" s="3">
        <v>2</v>
      </c>
      <c r="F72" s="3">
        <v>-1</v>
      </c>
      <c r="Q72" s="59" t="s">
        <v>267</v>
      </c>
      <c r="R72" s="38">
        <v>-15.85</v>
      </c>
      <c r="S72" s="39">
        <v>-33.67</v>
      </c>
      <c r="T72" s="39">
        <v>1.97</v>
      </c>
      <c r="U72" s="41">
        <v>0.1</v>
      </c>
    </row>
    <row r="73" spans="1:25" x14ac:dyDescent="0.25">
      <c r="A73" s="8">
        <v>27</v>
      </c>
      <c r="B73" s="5">
        <v>9</v>
      </c>
      <c r="C73" s="5">
        <v>10</v>
      </c>
      <c r="D73" s="4" t="s">
        <v>52</v>
      </c>
      <c r="E73" s="3">
        <v>2</v>
      </c>
      <c r="F73" s="3">
        <v>-1</v>
      </c>
      <c r="Q73" s="59" t="s">
        <v>268</v>
      </c>
      <c r="R73" s="38">
        <v>41</v>
      </c>
      <c r="S73" s="39">
        <v>23.17</v>
      </c>
      <c r="T73" s="39">
        <v>58.82</v>
      </c>
      <c r="U73" s="41" t="s">
        <v>279</v>
      </c>
    </row>
    <row r="74" spans="1:25" x14ac:dyDescent="0.25">
      <c r="A74" s="8">
        <v>28</v>
      </c>
      <c r="B74" s="5">
        <v>6</v>
      </c>
      <c r="C74" s="5">
        <v>9</v>
      </c>
      <c r="D74" s="4" t="s">
        <v>52</v>
      </c>
      <c r="E74" s="3">
        <v>2</v>
      </c>
      <c r="F74" s="3">
        <v>-1</v>
      </c>
      <c r="Q74" s="59" t="s">
        <v>269</v>
      </c>
      <c r="R74" s="38">
        <v>0.32</v>
      </c>
      <c r="S74" s="39">
        <v>-17.5</v>
      </c>
      <c r="T74" s="39">
        <v>18.14</v>
      </c>
      <c r="U74" s="41">
        <v>0.99</v>
      </c>
    </row>
    <row r="75" spans="1:25" x14ac:dyDescent="0.25">
      <c r="A75" s="8">
        <v>29</v>
      </c>
      <c r="B75" s="5">
        <v>11</v>
      </c>
      <c r="C75" s="5">
        <v>12</v>
      </c>
      <c r="D75" s="4" t="s">
        <v>52</v>
      </c>
      <c r="E75" s="3">
        <v>3</v>
      </c>
      <c r="F75" s="3">
        <v>-1</v>
      </c>
      <c r="Q75" s="59" t="s">
        <v>270</v>
      </c>
      <c r="R75" s="38">
        <v>-21.87</v>
      </c>
      <c r="S75" s="39">
        <v>-39.69</v>
      </c>
      <c r="T75" s="39">
        <v>-4.04</v>
      </c>
      <c r="U75" s="41">
        <v>7.0000000000000001E-3</v>
      </c>
    </row>
    <row r="76" spans="1:25" x14ac:dyDescent="0.25">
      <c r="A76" s="8">
        <v>30</v>
      </c>
      <c r="B76" s="5">
        <v>7</v>
      </c>
      <c r="C76" s="5">
        <v>6</v>
      </c>
      <c r="D76" s="4" t="s">
        <v>52</v>
      </c>
      <c r="E76" s="3">
        <v>1</v>
      </c>
      <c r="F76" s="3">
        <v>-2</v>
      </c>
      <c r="Q76" s="59" t="s">
        <v>271</v>
      </c>
      <c r="R76" s="38">
        <v>34.99</v>
      </c>
      <c r="S76" s="39">
        <v>17.16</v>
      </c>
      <c r="T76" s="39">
        <v>52.81</v>
      </c>
      <c r="U76" s="41" t="s">
        <v>279</v>
      </c>
    </row>
    <row r="77" spans="1:25" x14ac:dyDescent="0.25">
      <c r="A77" s="8">
        <v>31</v>
      </c>
      <c r="B77" s="5">
        <v>11</v>
      </c>
      <c r="C77" s="5">
        <v>11</v>
      </c>
      <c r="D77" s="4" t="s">
        <v>52</v>
      </c>
      <c r="E77" s="3">
        <v>3</v>
      </c>
      <c r="F77" s="3">
        <v>0</v>
      </c>
      <c r="Q77" s="59" t="s">
        <v>272</v>
      </c>
      <c r="R77" s="38">
        <v>-22.19</v>
      </c>
      <c r="S77" s="39">
        <v>-40.01</v>
      </c>
      <c r="T77" s="39">
        <v>-4.3600000000000003</v>
      </c>
      <c r="U77" s="41">
        <v>6.0000000000000001E-3</v>
      </c>
    </row>
    <row r="78" spans="1:25" x14ac:dyDescent="0.25">
      <c r="A78" s="8">
        <v>32</v>
      </c>
      <c r="B78" s="5">
        <v>9</v>
      </c>
      <c r="C78" s="5">
        <v>12</v>
      </c>
      <c r="D78" s="4" t="s">
        <v>52</v>
      </c>
      <c r="E78" s="3">
        <v>1</v>
      </c>
      <c r="F78" s="3">
        <v>-2</v>
      </c>
      <c r="Q78" s="59" t="s">
        <v>273</v>
      </c>
      <c r="R78" s="38">
        <v>34.67</v>
      </c>
      <c r="S78" s="39">
        <v>16.84</v>
      </c>
      <c r="T78" s="39">
        <v>52.48</v>
      </c>
      <c r="U78" s="41" t="s">
        <v>279</v>
      </c>
    </row>
    <row r="79" spans="1:25" x14ac:dyDescent="0.25">
      <c r="A79" s="8">
        <v>33</v>
      </c>
      <c r="B79" s="5">
        <v>10</v>
      </c>
      <c r="C79" s="5">
        <v>11</v>
      </c>
      <c r="D79" s="4" t="s">
        <v>52</v>
      </c>
      <c r="E79" s="3">
        <v>3</v>
      </c>
      <c r="F79" s="3">
        <v>1</v>
      </c>
      <c r="Q79" s="60" t="s">
        <v>274</v>
      </c>
      <c r="R79" s="44">
        <v>56.86</v>
      </c>
      <c r="S79" s="55">
        <v>39.03</v>
      </c>
      <c r="T79" s="55">
        <v>74.67</v>
      </c>
      <c r="U79" s="45" t="s">
        <v>279</v>
      </c>
    </row>
    <row r="80" spans="1:25" x14ac:dyDescent="0.25">
      <c r="A80" s="8">
        <v>34</v>
      </c>
      <c r="B80" s="5">
        <v>10</v>
      </c>
      <c r="C80" s="5">
        <v>8</v>
      </c>
      <c r="D80" s="4" t="s">
        <v>52</v>
      </c>
      <c r="E80" s="3">
        <v>4</v>
      </c>
      <c r="F80" s="3">
        <v>-1</v>
      </c>
    </row>
    <row r="81" spans="1:117" x14ac:dyDescent="0.25">
      <c r="A81" s="8">
        <v>35</v>
      </c>
      <c r="B81" s="5">
        <v>11</v>
      </c>
      <c r="C81" s="5">
        <v>12</v>
      </c>
      <c r="D81" s="4" t="s">
        <v>52</v>
      </c>
      <c r="E81" s="3">
        <v>2</v>
      </c>
      <c r="F81" s="3">
        <v>-1</v>
      </c>
    </row>
    <row r="82" spans="1:117" x14ac:dyDescent="0.25">
      <c r="A82" s="8">
        <v>36</v>
      </c>
      <c r="B82" s="5">
        <v>11</v>
      </c>
      <c r="C82" s="5">
        <v>11</v>
      </c>
      <c r="D82" s="4" t="s">
        <v>52</v>
      </c>
      <c r="E82" s="3">
        <v>3</v>
      </c>
      <c r="F82" s="3">
        <v>1</v>
      </c>
    </row>
    <row r="83" spans="1:117" x14ac:dyDescent="0.25">
      <c r="A83" s="8">
        <v>37</v>
      </c>
      <c r="B83" s="5">
        <v>9</v>
      </c>
      <c r="C83" s="5">
        <v>12</v>
      </c>
      <c r="D83" s="4" t="s">
        <v>52</v>
      </c>
      <c r="E83" s="3">
        <v>5</v>
      </c>
      <c r="F83" s="3">
        <v>1</v>
      </c>
    </row>
    <row r="84" spans="1:117" x14ac:dyDescent="0.25">
      <c r="A84" s="8">
        <v>38</v>
      </c>
      <c r="B84" s="5">
        <v>10</v>
      </c>
      <c r="C84" s="5">
        <v>8</v>
      </c>
      <c r="D84" s="4" t="s">
        <v>52</v>
      </c>
      <c r="E84" s="3">
        <v>2</v>
      </c>
      <c r="F84" s="3">
        <v>-1</v>
      </c>
    </row>
    <row r="85" spans="1:117" x14ac:dyDescent="0.25">
      <c r="A85" s="8">
        <v>39</v>
      </c>
      <c r="B85" s="5">
        <v>6</v>
      </c>
      <c r="C85" s="5">
        <v>4</v>
      </c>
      <c r="D85" s="4" t="s">
        <v>52</v>
      </c>
      <c r="E85" s="3">
        <v>1</v>
      </c>
      <c r="F85" s="3">
        <v>-2</v>
      </c>
    </row>
    <row r="86" spans="1:117" x14ac:dyDescent="0.25">
      <c r="A86" s="8">
        <v>40</v>
      </c>
      <c r="B86" s="5">
        <v>10</v>
      </c>
      <c r="C86" s="5">
        <v>11</v>
      </c>
      <c r="D86" s="4" t="s">
        <v>52</v>
      </c>
      <c r="E86" s="3">
        <v>3</v>
      </c>
      <c r="F86" s="3">
        <v>-2</v>
      </c>
      <c r="AC86" s="29"/>
      <c r="AL86" s="62" t="s">
        <v>222</v>
      </c>
      <c r="AM86" s="63" t="s">
        <v>119</v>
      </c>
      <c r="AN86" s="64" t="s">
        <v>258</v>
      </c>
    </row>
    <row r="87" spans="1:117" x14ac:dyDescent="0.25">
      <c r="A87" s="8">
        <v>41</v>
      </c>
      <c r="B87" s="5">
        <v>11</v>
      </c>
      <c r="C87" s="5">
        <v>12</v>
      </c>
      <c r="D87" s="4" t="s">
        <v>52</v>
      </c>
      <c r="E87" s="3">
        <v>4</v>
      </c>
      <c r="F87" s="3">
        <v>-1</v>
      </c>
      <c r="AC87" s="29"/>
      <c r="AL87" s="80" t="s">
        <v>52</v>
      </c>
      <c r="AM87" s="84">
        <v>66.5</v>
      </c>
      <c r="AN87" s="85">
        <v>28.51023</v>
      </c>
    </row>
    <row r="88" spans="1:117" x14ac:dyDescent="0.25">
      <c r="A88" s="8">
        <v>42</v>
      </c>
      <c r="B88" s="5">
        <v>7</v>
      </c>
      <c r="C88" s="5">
        <v>10</v>
      </c>
      <c r="D88" s="4" t="s">
        <v>52</v>
      </c>
      <c r="E88" s="3">
        <v>4</v>
      </c>
      <c r="F88" s="3">
        <v>-2</v>
      </c>
      <c r="AC88" s="29"/>
      <c r="AL88" s="81" t="s">
        <v>49</v>
      </c>
      <c r="AM88" s="86">
        <v>93.36</v>
      </c>
      <c r="AN88" s="87">
        <v>61.416530000000002</v>
      </c>
    </row>
    <row r="89" spans="1:117" x14ac:dyDescent="0.25">
      <c r="A89" s="8">
        <v>43</v>
      </c>
      <c r="B89" s="5">
        <v>11</v>
      </c>
      <c r="C89" s="5">
        <v>13</v>
      </c>
      <c r="D89" s="4" t="s">
        <v>52</v>
      </c>
      <c r="E89" s="3">
        <v>4</v>
      </c>
      <c r="F89" s="3">
        <v>1</v>
      </c>
      <c r="AC89" s="29"/>
      <c r="AL89" s="82" t="s">
        <v>301</v>
      </c>
      <c r="AM89" s="88">
        <v>75.727270000000004</v>
      </c>
      <c r="AN89" s="89">
        <v>49.053109999999997</v>
      </c>
    </row>
    <row r="90" spans="1:117" x14ac:dyDescent="0.25">
      <c r="A90" s="8">
        <v>44</v>
      </c>
      <c r="B90" s="5">
        <v>10</v>
      </c>
      <c r="C90" s="5">
        <v>13</v>
      </c>
      <c r="D90" s="4" t="s">
        <v>52</v>
      </c>
      <c r="E90" s="3">
        <v>3</v>
      </c>
      <c r="F90" s="3">
        <v>-1</v>
      </c>
      <c r="AC90" s="29"/>
      <c r="AL90" s="81" t="s">
        <v>50</v>
      </c>
      <c r="AM90" s="86">
        <v>49.620690000000003</v>
      </c>
      <c r="AN90" s="87">
        <v>19.752780000000001</v>
      </c>
    </row>
    <row r="91" spans="1:117" x14ac:dyDescent="0.25">
      <c r="A91" s="8">
        <v>45</v>
      </c>
      <c r="B91" s="5">
        <v>11</v>
      </c>
      <c r="C91" s="5">
        <v>11</v>
      </c>
      <c r="D91" s="4" t="s">
        <v>52</v>
      </c>
      <c r="E91" s="3">
        <v>4</v>
      </c>
      <c r="F91" s="3">
        <v>1</v>
      </c>
      <c r="AC91" s="29"/>
      <c r="AL91" s="83" t="s">
        <v>51</v>
      </c>
      <c r="AM91" s="90">
        <v>110.4</v>
      </c>
      <c r="AN91" s="91">
        <v>65.928619999999995</v>
      </c>
    </row>
    <row r="92" spans="1:117" x14ac:dyDescent="0.25">
      <c r="A92" s="8">
        <v>1</v>
      </c>
      <c r="B92" s="5">
        <v>11</v>
      </c>
      <c r="C92" s="5">
        <v>11</v>
      </c>
      <c r="D92" s="4" t="s">
        <v>50</v>
      </c>
      <c r="E92" s="3">
        <v>4</v>
      </c>
      <c r="F92" s="3">
        <v>1</v>
      </c>
      <c r="AC92" s="29"/>
      <c r="CB92" s="148" t="s">
        <v>304</v>
      </c>
      <c r="CC92" s="148"/>
      <c r="CD92" s="148"/>
      <c r="CJ92" s="61"/>
      <c r="CK92" s="61"/>
      <c r="CL92" s="61"/>
      <c r="CM92" s="61"/>
      <c r="CN92" s="61"/>
      <c r="CO92" s="61"/>
      <c r="CP92" s="61"/>
      <c r="CQ92" s="61"/>
      <c r="CR92" s="61"/>
      <c r="CS92" s="61"/>
      <c r="CT92" s="61"/>
      <c r="CU92" s="61"/>
      <c r="CV92" s="61"/>
      <c r="CW92" s="61"/>
      <c r="CX92" s="61"/>
      <c r="CY92" s="61"/>
      <c r="CZ92" s="61"/>
      <c r="DA92" s="61"/>
      <c r="DB92" s="61"/>
      <c r="DC92" s="61"/>
      <c r="DD92" s="143"/>
      <c r="DE92" s="143"/>
      <c r="DF92" s="143"/>
      <c r="DG92" s="143"/>
      <c r="DH92" s="143"/>
      <c r="DI92" s="143"/>
      <c r="DJ92" s="143"/>
      <c r="DK92" s="143"/>
      <c r="DL92" s="143"/>
      <c r="DM92" s="143"/>
    </row>
    <row r="93" spans="1:117" ht="15.75" thickBot="1" x14ac:dyDescent="0.3">
      <c r="A93" s="8">
        <v>2</v>
      </c>
      <c r="B93" s="5">
        <v>10</v>
      </c>
      <c r="C93" s="5">
        <v>13</v>
      </c>
      <c r="D93" s="4" t="s">
        <v>50</v>
      </c>
      <c r="E93" s="3">
        <v>5</v>
      </c>
      <c r="F93" s="3">
        <v>2</v>
      </c>
      <c r="AC93" s="29"/>
      <c r="CB93" s="47" t="s">
        <v>222</v>
      </c>
      <c r="CC93" s="48" t="s">
        <v>119</v>
      </c>
      <c r="CD93" s="49" t="s">
        <v>258</v>
      </c>
      <c r="CE93" s="75"/>
      <c r="CF93" s="76"/>
      <c r="CG93" s="74"/>
      <c r="CT93">
        <v>1</v>
      </c>
      <c r="CU93">
        <v>2</v>
      </c>
      <c r="CV93">
        <v>3</v>
      </c>
      <c r="CW93">
        <v>4</v>
      </c>
      <c r="CX93">
        <v>5</v>
      </c>
    </row>
    <row r="94" spans="1:117" ht="15.75" thickBot="1" x14ac:dyDescent="0.3">
      <c r="A94" s="8">
        <v>3</v>
      </c>
      <c r="B94" s="5">
        <v>10</v>
      </c>
      <c r="C94" s="5">
        <v>13</v>
      </c>
      <c r="D94" s="4" t="s">
        <v>50</v>
      </c>
      <c r="E94" s="3">
        <v>5</v>
      </c>
      <c r="F94" s="3">
        <v>2</v>
      </c>
      <c r="AC94" s="29"/>
      <c r="AT94" s="149" t="s">
        <v>222</v>
      </c>
      <c r="AU94" s="150"/>
      <c r="AV94" s="150"/>
      <c r="AW94" s="150"/>
      <c r="AX94" s="150"/>
      <c r="AY94" s="151"/>
      <c r="AZ94" s="92"/>
      <c r="BB94" s="152" t="s">
        <v>1</v>
      </c>
      <c r="BC94" s="153"/>
      <c r="BD94" s="153"/>
      <c r="BE94" s="153"/>
      <c r="BF94" s="153"/>
      <c r="BG94" s="153"/>
      <c r="BH94" s="153"/>
      <c r="BI94" s="153"/>
      <c r="BJ94" s="153"/>
      <c r="BK94" s="153"/>
      <c r="BL94" s="153"/>
      <c r="BM94" s="154"/>
      <c r="BO94" s="152" t="s">
        <v>226</v>
      </c>
      <c r="BP94" s="153"/>
      <c r="BQ94" s="153"/>
      <c r="BR94" s="153"/>
      <c r="BS94" s="153"/>
      <c r="BT94" s="153"/>
      <c r="BU94" s="153"/>
      <c r="BV94" s="153"/>
      <c r="BW94" s="153"/>
      <c r="BX94" s="153"/>
      <c r="BY94" s="154"/>
      <c r="CB94" s="117" t="s">
        <v>51</v>
      </c>
      <c r="CC94" s="88">
        <v>2.4222220000000001</v>
      </c>
      <c r="CD94" s="120">
        <v>1.1178081</v>
      </c>
      <c r="CE94" s="77"/>
      <c r="CF94" s="78"/>
      <c r="CG94" s="79"/>
      <c r="CS94" t="s">
        <v>227</v>
      </c>
      <c r="CT94">
        <v>9</v>
      </c>
      <c r="CU94">
        <v>20</v>
      </c>
      <c r="CV94">
        <v>5</v>
      </c>
      <c r="CW94">
        <v>10</v>
      </c>
      <c r="CX94">
        <v>1</v>
      </c>
    </row>
    <row r="95" spans="1:117" ht="15.75" thickBot="1" x14ac:dyDescent="0.3">
      <c r="A95" s="8">
        <v>4</v>
      </c>
      <c r="B95" s="5">
        <v>11</v>
      </c>
      <c r="C95" s="5">
        <v>13</v>
      </c>
      <c r="D95" s="4" t="s">
        <v>50</v>
      </c>
      <c r="E95" s="3">
        <v>5</v>
      </c>
      <c r="F95" s="3">
        <v>2</v>
      </c>
      <c r="AC95" s="29"/>
      <c r="AT95" s="103" t="s">
        <v>302</v>
      </c>
      <c r="AU95" s="106" t="s">
        <v>52</v>
      </c>
      <c r="AV95" s="106" t="s">
        <v>49</v>
      </c>
      <c r="AW95" s="106" t="s">
        <v>301</v>
      </c>
      <c r="AX95" s="106" t="s">
        <v>50</v>
      </c>
      <c r="AY95" s="107" t="s">
        <v>51</v>
      </c>
      <c r="AZ95" s="92"/>
      <c r="BB95" s="100" t="s">
        <v>302</v>
      </c>
      <c r="BC95" s="110">
        <v>1</v>
      </c>
      <c r="BD95" s="111">
        <v>2</v>
      </c>
      <c r="BE95" s="111">
        <v>3</v>
      </c>
      <c r="BF95" s="111">
        <v>4</v>
      </c>
      <c r="BG95" s="111">
        <v>5</v>
      </c>
      <c r="BH95" s="111">
        <v>6</v>
      </c>
      <c r="BI95" s="111">
        <v>7</v>
      </c>
      <c r="BJ95" s="111">
        <v>8</v>
      </c>
      <c r="BK95" s="111">
        <v>9</v>
      </c>
      <c r="BL95" s="111">
        <v>10</v>
      </c>
      <c r="BM95" s="112">
        <v>11</v>
      </c>
      <c r="BO95" s="100" t="s">
        <v>302</v>
      </c>
      <c r="BP95" s="110">
        <v>1</v>
      </c>
      <c r="BQ95" s="111">
        <v>2</v>
      </c>
      <c r="BR95" s="111">
        <v>3</v>
      </c>
      <c r="BS95" s="111">
        <v>4</v>
      </c>
      <c r="BT95" s="111">
        <v>5</v>
      </c>
      <c r="BU95" s="111">
        <v>6</v>
      </c>
      <c r="BV95" s="111">
        <v>7</v>
      </c>
      <c r="BW95" s="111">
        <v>8</v>
      </c>
      <c r="BX95" s="111">
        <v>9</v>
      </c>
      <c r="BY95" s="112">
        <v>10</v>
      </c>
      <c r="CA95" s="116"/>
      <c r="CB95" s="118" t="s">
        <v>301</v>
      </c>
      <c r="CC95" s="86">
        <v>3.5555560000000002</v>
      </c>
      <c r="CD95" s="87">
        <v>0.98984749999999999</v>
      </c>
      <c r="CE95" s="77"/>
      <c r="CF95" s="75"/>
      <c r="CG95" s="76"/>
      <c r="CS95" t="s">
        <v>301</v>
      </c>
      <c r="CT95">
        <v>1</v>
      </c>
      <c r="CU95">
        <v>7</v>
      </c>
      <c r="CV95">
        <v>9</v>
      </c>
      <c r="CW95">
        <v>22</v>
      </c>
      <c r="CX95">
        <v>6</v>
      </c>
    </row>
    <row r="96" spans="1:117" ht="15.75" thickBot="1" x14ac:dyDescent="0.3">
      <c r="A96" s="8">
        <v>5</v>
      </c>
      <c r="B96" s="5">
        <v>6</v>
      </c>
      <c r="C96" s="5">
        <v>12</v>
      </c>
      <c r="D96" s="4" t="s">
        <v>50</v>
      </c>
      <c r="E96" s="3">
        <v>5</v>
      </c>
      <c r="F96" s="3">
        <v>2</v>
      </c>
      <c r="AC96" s="29"/>
      <c r="AT96" s="104">
        <v>1</v>
      </c>
      <c r="AU96" s="108">
        <v>4</v>
      </c>
      <c r="AV96" s="108">
        <v>9</v>
      </c>
      <c r="AW96" s="108">
        <v>9</v>
      </c>
      <c r="AX96" s="108">
        <v>3</v>
      </c>
      <c r="AY96" s="109">
        <v>6</v>
      </c>
      <c r="AZ96" s="92"/>
      <c r="BB96" s="101">
        <v>1</v>
      </c>
      <c r="BC96" s="113" t="s">
        <v>303</v>
      </c>
      <c r="BD96" s="114" t="s">
        <v>303</v>
      </c>
      <c r="BE96" s="114" t="s">
        <v>303</v>
      </c>
      <c r="BF96" s="114" t="s">
        <v>303</v>
      </c>
      <c r="BG96" s="114" t="s">
        <v>303</v>
      </c>
      <c r="BH96" s="114">
        <v>1</v>
      </c>
      <c r="BI96" s="114">
        <v>16</v>
      </c>
      <c r="BJ96" s="114">
        <v>1</v>
      </c>
      <c r="BK96" s="114">
        <v>3</v>
      </c>
      <c r="BL96" s="114">
        <v>6</v>
      </c>
      <c r="BM96" s="115">
        <v>4</v>
      </c>
      <c r="BO96" s="101">
        <v>1</v>
      </c>
      <c r="BP96" s="113">
        <v>5</v>
      </c>
      <c r="BQ96" s="114">
        <v>3</v>
      </c>
      <c r="BR96" s="114">
        <v>3</v>
      </c>
      <c r="BS96" s="114">
        <v>5</v>
      </c>
      <c r="BT96" s="114">
        <v>2</v>
      </c>
      <c r="BU96" s="114">
        <v>3</v>
      </c>
      <c r="BV96" s="114">
        <v>2</v>
      </c>
      <c r="BW96" s="114">
        <v>2</v>
      </c>
      <c r="BX96" s="114">
        <v>4</v>
      </c>
      <c r="BY96" s="115">
        <v>2</v>
      </c>
      <c r="CA96" s="116"/>
      <c r="CB96" s="117" t="s">
        <v>52</v>
      </c>
      <c r="CC96" s="88">
        <v>2.9333330000000002</v>
      </c>
      <c r="CD96" s="89">
        <v>1.2504545</v>
      </c>
      <c r="CE96" s="77"/>
      <c r="CF96" s="78"/>
      <c r="CG96" s="79"/>
      <c r="CJ96" s="147"/>
      <c r="CS96" t="s">
        <v>52</v>
      </c>
      <c r="CT96">
        <v>7</v>
      </c>
      <c r="CU96">
        <v>11</v>
      </c>
      <c r="CV96">
        <v>9</v>
      </c>
      <c r="CW96">
        <v>14</v>
      </c>
      <c r="CX96">
        <v>4</v>
      </c>
    </row>
    <row r="97" spans="1:111" ht="15.75" thickBot="1" x14ac:dyDescent="0.3">
      <c r="A97" s="8">
        <v>6</v>
      </c>
      <c r="B97" s="5">
        <v>10</v>
      </c>
      <c r="C97" s="5">
        <v>12</v>
      </c>
      <c r="D97" s="4" t="s">
        <v>50</v>
      </c>
      <c r="E97" s="3">
        <v>5</v>
      </c>
      <c r="F97" s="3">
        <v>2</v>
      </c>
      <c r="AC97" s="29"/>
      <c r="AT97" s="104">
        <v>2</v>
      </c>
      <c r="AU97" s="92">
        <v>21</v>
      </c>
      <c r="AV97" s="92">
        <v>11</v>
      </c>
      <c r="AW97" s="92">
        <v>14</v>
      </c>
      <c r="AX97" s="92">
        <v>9</v>
      </c>
      <c r="AY97" s="93">
        <v>14</v>
      </c>
      <c r="AZ97" s="92"/>
      <c r="BB97" s="101">
        <v>2</v>
      </c>
      <c r="BC97" s="96" t="s">
        <v>303</v>
      </c>
      <c r="BD97" s="24" t="s">
        <v>303</v>
      </c>
      <c r="BE97" s="24" t="s">
        <v>303</v>
      </c>
      <c r="BF97" s="24" t="s">
        <v>303</v>
      </c>
      <c r="BG97" s="24" t="s">
        <v>303</v>
      </c>
      <c r="BH97" s="24">
        <v>11</v>
      </c>
      <c r="BI97" s="24">
        <v>8</v>
      </c>
      <c r="BJ97" s="24">
        <v>9</v>
      </c>
      <c r="BK97" s="24">
        <v>10</v>
      </c>
      <c r="BL97" s="24">
        <v>19</v>
      </c>
      <c r="BM97" s="97">
        <v>12</v>
      </c>
      <c r="BO97" s="101">
        <v>2</v>
      </c>
      <c r="BP97" s="96">
        <v>10</v>
      </c>
      <c r="BQ97" s="24">
        <v>6</v>
      </c>
      <c r="BR97" s="24">
        <v>6</v>
      </c>
      <c r="BS97" s="24">
        <v>8</v>
      </c>
      <c r="BT97" s="24">
        <v>11</v>
      </c>
      <c r="BU97" s="24">
        <v>6</v>
      </c>
      <c r="BV97" s="24">
        <v>7</v>
      </c>
      <c r="BW97" s="24">
        <v>5</v>
      </c>
      <c r="BX97" s="24">
        <v>7</v>
      </c>
      <c r="BY97" s="97">
        <v>3</v>
      </c>
      <c r="CA97" s="116"/>
      <c r="CB97" s="118" t="s">
        <v>49</v>
      </c>
      <c r="CC97" s="86">
        <v>3.6222219999999998</v>
      </c>
      <c r="CD97" s="87">
        <v>1.1137343</v>
      </c>
      <c r="CE97" s="77"/>
      <c r="CF97" s="75"/>
      <c r="CG97" s="76"/>
      <c r="CJ97" s="147"/>
      <c r="CS97" t="s">
        <v>49</v>
      </c>
      <c r="CT97">
        <v>1</v>
      </c>
      <c r="CU97">
        <v>9</v>
      </c>
      <c r="CV97">
        <v>6</v>
      </c>
      <c r="CW97">
        <v>19</v>
      </c>
      <c r="CX97">
        <v>10</v>
      </c>
    </row>
    <row r="98" spans="1:111" ht="15.75" thickBot="1" x14ac:dyDescent="0.3">
      <c r="A98" s="8">
        <v>7</v>
      </c>
      <c r="B98" s="5">
        <v>11</v>
      </c>
      <c r="C98" s="5">
        <v>11</v>
      </c>
      <c r="D98" s="4" t="s">
        <v>50</v>
      </c>
      <c r="E98" s="3">
        <v>5</v>
      </c>
      <c r="F98" s="3">
        <v>1</v>
      </c>
      <c r="AT98" s="104">
        <v>3</v>
      </c>
      <c r="AU98" s="92">
        <v>30</v>
      </c>
      <c r="AV98" s="92">
        <v>32</v>
      </c>
      <c r="AW98" s="92">
        <v>34</v>
      </c>
      <c r="AX98" s="92">
        <v>30</v>
      </c>
      <c r="AY98" s="93">
        <v>48</v>
      </c>
      <c r="AZ98" s="92"/>
      <c r="BB98" s="101">
        <v>3</v>
      </c>
      <c r="BC98" s="96" t="s">
        <v>303</v>
      </c>
      <c r="BD98" s="24" t="s">
        <v>303</v>
      </c>
      <c r="BE98" s="24" t="s">
        <v>303</v>
      </c>
      <c r="BF98" s="24" t="s">
        <v>303</v>
      </c>
      <c r="BG98" s="24" t="s">
        <v>303</v>
      </c>
      <c r="BH98" s="24">
        <v>5</v>
      </c>
      <c r="BI98" s="24">
        <v>9</v>
      </c>
      <c r="BJ98" s="24" t="s">
        <v>303</v>
      </c>
      <c r="BK98" s="24">
        <v>29</v>
      </c>
      <c r="BL98" s="24">
        <v>60</v>
      </c>
      <c r="BM98" s="97">
        <v>71</v>
      </c>
      <c r="BO98" s="101">
        <v>3</v>
      </c>
      <c r="BP98" s="96">
        <v>17</v>
      </c>
      <c r="BQ98" s="24">
        <v>20</v>
      </c>
      <c r="BR98" s="24">
        <v>19</v>
      </c>
      <c r="BS98" s="24">
        <v>19</v>
      </c>
      <c r="BT98" s="24">
        <v>17</v>
      </c>
      <c r="BU98" s="24">
        <v>16</v>
      </c>
      <c r="BV98" s="24">
        <v>15</v>
      </c>
      <c r="BW98" s="24">
        <v>18</v>
      </c>
      <c r="BX98" s="24">
        <v>16</v>
      </c>
      <c r="BY98" s="97">
        <v>17</v>
      </c>
      <c r="CA98" s="116"/>
      <c r="CB98" s="119" t="s">
        <v>50</v>
      </c>
      <c r="CC98" s="90">
        <v>4.644444</v>
      </c>
      <c r="CD98" s="91">
        <v>0.57030910000000001</v>
      </c>
      <c r="CJ98" s="147"/>
      <c r="CS98" t="s">
        <v>50</v>
      </c>
      <c r="CT98" t="s">
        <v>303</v>
      </c>
      <c r="CU98" t="s">
        <v>303</v>
      </c>
      <c r="CV98">
        <v>2</v>
      </c>
      <c r="CW98">
        <v>12</v>
      </c>
      <c r="CX98">
        <v>31</v>
      </c>
    </row>
    <row r="99" spans="1:111" x14ac:dyDescent="0.25">
      <c r="A99" s="8">
        <v>8</v>
      </c>
      <c r="B99" s="5">
        <v>11</v>
      </c>
      <c r="C99" s="5">
        <v>11</v>
      </c>
      <c r="D99" s="4" t="s">
        <v>50</v>
      </c>
      <c r="E99" s="3">
        <v>5</v>
      </c>
      <c r="F99" s="3">
        <v>2</v>
      </c>
      <c r="AT99" s="105">
        <v>4</v>
      </c>
      <c r="AU99" s="94">
        <v>35</v>
      </c>
      <c r="AV99" s="94">
        <v>38</v>
      </c>
      <c r="AW99" s="94">
        <v>33</v>
      </c>
      <c r="AX99" s="94">
        <v>48</v>
      </c>
      <c r="AY99" s="95">
        <v>22</v>
      </c>
      <c r="AZ99" s="92"/>
      <c r="BB99" s="102">
        <v>4</v>
      </c>
      <c r="BC99" s="98" t="s">
        <v>303</v>
      </c>
      <c r="BD99" s="31" t="s">
        <v>303</v>
      </c>
      <c r="BE99" s="31" t="s">
        <v>303</v>
      </c>
      <c r="BF99" s="31" t="s">
        <v>303</v>
      </c>
      <c r="BG99" s="31" t="s">
        <v>303</v>
      </c>
      <c r="BH99" s="31">
        <v>13</v>
      </c>
      <c r="BI99" s="31">
        <v>7</v>
      </c>
      <c r="BJ99" s="31" t="s">
        <v>303</v>
      </c>
      <c r="BK99" s="31">
        <v>8</v>
      </c>
      <c r="BL99" s="31">
        <v>65</v>
      </c>
      <c r="BM99" s="99">
        <v>83</v>
      </c>
      <c r="BO99" s="102">
        <v>4</v>
      </c>
      <c r="BP99" s="98">
        <v>13</v>
      </c>
      <c r="BQ99" s="31">
        <v>15</v>
      </c>
      <c r="BR99" s="31">
        <v>17</v>
      </c>
      <c r="BS99" s="31">
        <v>14</v>
      </c>
      <c r="BT99" s="31">
        <v>15</v>
      </c>
      <c r="BU99" s="31">
        <v>20</v>
      </c>
      <c r="BV99" s="31">
        <v>21</v>
      </c>
      <c r="BW99" s="31">
        <v>20</v>
      </c>
      <c r="BX99" s="31">
        <v>18</v>
      </c>
      <c r="BY99" s="99">
        <v>23</v>
      </c>
      <c r="CJ99" s="147"/>
    </row>
    <row r="100" spans="1:111" x14ac:dyDescent="0.25">
      <c r="A100" s="8">
        <v>9</v>
      </c>
      <c r="B100" s="5">
        <v>11</v>
      </c>
      <c r="C100" s="5">
        <v>13</v>
      </c>
      <c r="D100" s="4" t="s">
        <v>50</v>
      </c>
      <c r="E100" s="3">
        <v>5</v>
      </c>
      <c r="F100" s="3">
        <v>2</v>
      </c>
      <c r="CJ100" s="147"/>
    </row>
    <row r="101" spans="1:111" x14ac:dyDescent="0.25">
      <c r="A101" s="8">
        <v>10</v>
      </c>
      <c r="B101" s="5">
        <v>11</v>
      </c>
      <c r="C101" s="5">
        <v>13</v>
      </c>
      <c r="D101" s="4" t="s">
        <v>50</v>
      </c>
      <c r="E101" s="3">
        <v>4</v>
      </c>
      <c r="F101" s="3">
        <v>2</v>
      </c>
      <c r="CJ101" s="147"/>
    </row>
    <row r="102" spans="1:111" x14ac:dyDescent="0.25">
      <c r="A102" s="8">
        <v>11</v>
      </c>
      <c r="B102" s="5">
        <v>11</v>
      </c>
      <c r="C102" s="5">
        <v>11</v>
      </c>
      <c r="D102" s="4" t="s">
        <v>50</v>
      </c>
      <c r="E102" s="3">
        <v>4</v>
      </c>
      <c r="F102" s="3">
        <v>-1</v>
      </c>
      <c r="CJ102" s="147"/>
      <c r="CT102" s="143" t="s">
        <v>306</v>
      </c>
      <c r="CU102" s="143"/>
      <c r="CV102" s="143"/>
      <c r="CW102" s="143"/>
      <c r="CX102" s="143"/>
    </row>
    <row r="103" spans="1:111" x14ac:dyDescent="0.25">
      <c r="A103" s="8">
        <v>12</v>
      </c>
      <c r="B103" s="5">
        <v>10</v>
      </c>
      <c r="C103" s="5">
        <v>11</v>
      </c>
      <c r="D103" s="4" t="s">
        <v>50</v>
      </c>
      <c r="E103" s="3">
        <v>5</v>
      </c>
      <c r="F103" s="3">
        <v>2</v>
      </c>
      <c r="AC103" s="159" t="s">
        <v>281</v>
      </c>
      <c r="AD103" s="160"/>
      <c r="AE103" s="160"/>
      <c r="AF103" s="160"/>
      <c r="AG103" s="161"/>
      <c r="CJ103" s="147"/>
      <c r="CS103" t="s">
        <v>1</v>
      </c>
      <c r="CT103">
        <v>1</v>
      </c>
      <c r="CU103">
        <v>2</v>
      </c>
      <c r="CV103">
        <v>3</v>
      </c>
      <c r="CW103">
        <v>4</v>
      </c>
      <c r="CX103">
        <v>5</v>
      </c>
      <c r="CY103" t="s">
        <v>305</v>
      </c>
    </row>
    <row r="104" spans="1:111" x14ac:dyDescent="0.25">
      <c r="A104" s="8">
        <v>13</v>
      </c>
      <c r="B104" s="5">
        <v>9</v>
      </c>
      <c r="C104" s="5">
        <v>13</v>
      </c>
      <c r="D104" s="4" t="s">
        <v>50</v>
      </c>
      <c r="E104" s="3">
        <v>4</v>
      </c>
      <c r="F104" s="3">
        <v>2</v>
      </c>
      <c r="AC104" s="62" t="s">
        <v>292</v>
      </c>
      <c r="AD104" s="63" t="s">
        <v>293</v>
      </c>
      <c r="AE104" s="63" t="s">
        <v>294</v>
      </c>
      <c r="AF104" s="63" t="s">
        <v>300</v>
      </c>
      <c r="AG104" s="64" t="s">
        <v>295</v>
      </c>
      <c r="CJ104" s="147"/>
      <c r="CS104">
        <v>6</v>
      </c>
      <c r="CT104">
        <v>2</v>
      </c>
      <c r="CU104">
        <v>4</v>
      </c>
      <c r="CV104">
        <v>4</v>
      </c>
      <c r="CW104">
        <v>3</v>
      </c>
      <c r="CX104">
        <v>2</v>
      </c>
      <c r="CY104">
        <f>SUM(CT104:CX104)</f>
        <v>15</v>
      </c>
    </row>
    <row r="105" spans="1:111" x14ac:dyDescent="0.25">
      <c r="A105" s="8">
        <v>14</v>
      </c>
      <c r="B105" s="5">
        <v>10</v>
      </c>
      <c r="C105" s="5">
        <v>11</v>
      </c>
      <c r="D105" s="4" t="s">
        <v>50</v>
      </c>
      <c r="E105" s="3">
        <v>5</v>
      </c>
      <c r="F105" s="3">
        <v>2</v>
      </c>
      <c r="AC105" s="65" t="s">
        <v>282</v>
      </c>
      <c r="AD105" s="66">
        <v>28.498000000000001</v>
      </c>
      <c r="AE105" s="66">
        <v>11.631</v>
      </c>
      <c r="AF105" s="66">
        <v>2.4500000000000002</v>
      </c>
      <c r="AG105" s="67">
        <v>0.11036</v>
      </c>
      <c r="CJ105" s="147"/>
      <c r="CS105">
        <v>7</v>
      </c>
      <c r="CT105">
        <v>3</v>
      </c>
      <c r="CU105">
        <v>3</v>
      </c>
      <c r="CV105">
        <v>3</v>
      </c>
      <c r="CW105">
        <v>9</v>
      </c>
      <c r="CX105">
        <v>2</v>
      </c>
      <c r="CY105">
        <f t="shared" ref="CY105:CY109" si="0">SUM(CT105:CX105)</f>
        <v>20</v>
      </c>
    </row>
    <row r="106" spans="1:111" x14ac:dyDescent="0.25">
      <c r="A106" s="8">
        <v>15</v>
      </c>
      <c r="B106" s="5">
        <v>11</v>
      </c>
      <c r="C106" s="5">
        <v>13</v>
      </c>
      <c r="D106" s="4" t="s">
        <v>50</v>
      </c>
      <c r="E106" s="3">
        <v>5</v>
      </c>
      <c r="F106" s="3">
        <v>2</v>
      </c>
      <c r="AC106" s="68" t="s">
        <v>283</v>
      </c>
      <c r="AD106" s="69">
        <v>42.33</v>
      </c>
      <c r="AE106" s="69">
        <v>11.568</v>
      </c>
      <c r="AF106" s="69">
        <v>3.6589999999999998</v>
      </c>
      <c r="AG106" s="70" t="s">
        <v>296</v>
      </c>
      <c r="CJ106" s="147"/>
      <c r="CS106">
        <v>8</v>
      </c>
      <c r="CU106">
        <v>2</v>
      </c>
      <c r="CW106">
        <v>4</v>
      </c>
      <c r="CY106">
        <f t="shared" si="0"/>
        <v>6</v>
      </c>
    </row>
    <row r="107" spans="1:111" x14ac:dyDescent="0.25">
      <c r="A107" s="8">
        <v>16</v>
      </c>
      <c r="B107" s="5">
        <v>10</v>
      </c>
      <c r="C107" s="5">
        <v>13</v>
      </c>
      <c r="D107" s="4" t="s">
        <v>50</v>
      </c>
      <c r="E107" s="3">
        <v>4</v>
      </c>
      <c r="F107" s="3">
        <v>1</v>
      </c>
      <c r="AC107" s="38" t="s">
        <v>284</v>
      </c>
      <c r="AD107" s="39">
        <v>19.812999999999999</v>
      </c>
      <c r="AE107" s="39">
        <v>11.214</v>
      </c>
      <c r="AF107" s="39">
        <v>1.7669999999999999</v>
      </c>
      <c r="AG107" s="41">
        <v>0.39807999999999999</v>
      </c>
      <c r="CJ107" s="147"/>
      <c r="CS107">
        <v>9</v>
      </c>
      <c r="CT107">
        <v>1</v>
      </c>
      <c r="CU107">
        <v>7</v>
      </c>
      <c r="CV107">
        <v>4</v>
      </c>
      <c r="CW107">
        <v>8</v>
      </c>
      <c r="CX107">
        <v>5</v>
      </c>
      <c r="CY107">
        <f t="shared" si="0"/>
        <v>25</v>
      </c>
    </row>
    <row r="108" spans="1:111" x14ac:dyDescent="0.25">
      <c r="A108" s="8">
        <v>17</v>
      </c>
      <c r="B108" s="5">
        <v>10</v>
      </c>
      <c r="C108" s="5">
        <v>12</v>
      </c>
      <c r="D108" s="4" t="s">
        <v>50</v>
      </c>
      <c r="E108" s="3">
        <v>5</v>
      </c>
      <c r="F108" s="3">
        <v>2</v>
      </c>
      <c r="AC108" s="68" t="s">
        <v>285</v>
      </c>
      <c r="AD108" s="69">
        <v>57.817</v>
      </c>
      <c r="AE108" s="69">
        <v>10.782</v>
      </c>
      <c r="AF108" s="69">
        <v>5.3620000000000001</v>
      </c>
      <c r="AG108" s="70" t="s">
        <v>297</v>
      </c>
      <c r="CJ108" s="147"/>
      <c r="CS108">
        <v>10</v>
      </c>
      <c r="CT108">
        <v>7</v>
      </c>
      <c r="CU108">
        <v>15</v>
      </c>
      <c r="CV108">
        <v>9</v>
      </c>
      <c r="CW108">
        <v>23</v>
      </c>
      <c r="CX108">
        <v>21</v>
      </c>
      <c r="CY108">
        <f t="shared" si="0"/>
        <v>75</v>
      </c>
    </row>
    <row r="109" spans="1:111" x14ac:dyDescent="0.25">
      <c r="A109" s="8">
        <v>18</v>
      </c>
      <c r="B109" s="5">
        <v>7</v>
      </c>
      <c r="C109" s="5">
        <v>11</v>
      </c>
      <c r="D109" s="4" t="s">
        <v>50</v>
      </c>
      <c r="E109" s="3">
        <v>5</v>
      </c>
      <c r="F109" s="3">
        <v>2</v>
      </c>
      <c r="AC109" s="38" t="s">
        <v>286</v>
      </c>
      <c r="AD109" s="39">
        <v>13.832000000000001</v>
      </c>
      <c r="AE109" s="39">
        <v>12.051</v>
      </c>
      <c r="AF109" s="39">
        <v>1.1479999999999999</v>
      </c>
      <c r="AG109" s="41">
        <v>0.78032000000000001</v>
      </c>
      <c r="CJ109" s="147"/>
      <c r="CS109">
        <v>11</v>
      </c>
      <c r="CT109">
        <v>5</v>
      </c>
      <c r="CU109">
        <v>16</v>
      </c>
      <c r="CV109">
        <v>11</v>
      </c>
      <c r="CW109">
        <v>31</v>
      </c>
      <c r="CX109">
        <v>22</v>
      </c>
      <c r="CY109">
        <f t="shared" si="0"/>
        <v>85</v>
      </c>
    </row>
    <row r="110" spans="1:111" x14ac:dyDescent="0.25">
      <c r="A110" s="8">
        <v>19</v>
      </c>
      <c r="B110" s="5">
        <v>10</v>
      </c>
      <c r="C110" s="5">
        <v>9</v>
      </c>
      <c r="D110" s="4" t="s">
        <v>50</v>
      </c>
      <c r="E110" s="3">
        <v>5</v>
      </c>
      <c r="F110" s="3">
        <v>2</v>
      </c>
      <c r="AC110" s="38" t="s">
        <v>287</v>
      </c>
      <c r="AD110" s="39">
        <v>-8.6839999999999993</v>
      </c>
      <c r="AE110" s="39">
        <v>11.702999999999999</v>
      </c>
      <c r="AF110" s="39">
        <v>-0.74199999999999999</v>
      </c>
      <c r="AG110" s="41">
        <v>0.94591999999999998</v>
      </c>
      <c r="CJ110" s="147"/>
      <c r="CY110">
        <f>SUM(CY104:CY109)</f>
        <v>226</v>
      </c>
    </row>
    <row r="111" spans="1:111" x14ac:dyDescent="0.25">
      <c r="A111" s="8">
        <v>20</v>
      </c>
      <c r="B111" s="5">
        <v>10</v>
      </c>
      <c r="C111" s="5">
        <v>10</v>
      </c>
      <c r="D111" s="4" t="s">
        <v>50</v>
      </c>
      <c r="E111" s="3">
        <v>5</v>
      </c>
      <c r="F111" s="3">
        <v>2</v>
      </c>
      <c r="AC111" s="38" t="s">
        <v>288</v>
      </c>
      <c r="AD111" s="39">
        <v>29.318999999999999</v>
      </c>
      <c r="AE111" s="39">
        <v>11.282999999999999</v>
      </c>
      <c r="AF111" s="39">
        <v>2.5979999999999999</v>
      </c>
      <c r="AG111" s="41" t="s">
        <v>298</v>
      </c>
      <c r="CJ111" s="147"/>
      <c r="DB111" s="121" t="s">
        <v>307</v>
      </c>
      <c r="DC111" s="144" t="s">
        <v>222</v>
      </c>
      <c r="DD111" s="145"/>
      <c r="DE111" s="145"/>
      <c r="DF111" s="145"/>
      <c r="DG111" s="146"/>
    </row>
    <row r="112" spans="1:111" x14ac:dyDescent="0.25">
      <c r="A112" s="8">
        <v>21</v>
      </c>
      <c r="B112" s="5">
        <v>11</v>
      </c>
      <c r="C112" s="5">
        <v>11</v>
      </c>
      <c r="D112" s="4" t="s">
        <v>50</v>
      </c>
      <c r="E112" s="3">
        <v>5</v>
      </c>
      <c r="F112" s="3">
        <v>2</v>
      </c>
      <c r="AC112" s="38" t="s">
        <v>289</v>
      </c>
      <c r="AD112" s="39">
        <v>-22.515999999999998</v>
      </c>
      <c r="AE112" s="39">
        <v>11.571</v>
      </c>
      <c r="AF112" s="39">
        <v>-1.946</v>
      </c>
      <c r="AG112" s="41">
        <v>0.29970000000000002</v>
      </c>
      <c r="CJ112" s="147"/>
      <c r="DB112" s="122" t="s">
        <v>308</v>
      </c>
      <c r="DC112" s="47" t="s">
        <v>51</v>
      </c>
      <c r="DD112" s="48" t="s">
        <v>52</v>
      </c>
      <c r="DE112" s="48" t="s">
        <v>301</v>
      </c>
      <c r="DF112" s="48" t="s">
        <v>49</v>
      </c>
      <c r="DG112" s="49" t="s">
        <v>50</v>
      </c>
    </row>
    <row r="113" spans="1:119" x14ac:dyDescent="0.25">
      <c r="A113" s="8">
        <v>22</v>
      </c>
      <c r="B113" s="5">
        <v>9</v>
      </c>
      <c r="C113" s="5">
        <v>8</v>
      </c>
      <c r="D113" s="4" t="s">
        <v>50</v>
      </c>
      <c r="E113" s="3">
        <v>5</v>
      </c>
      <c r="F113" s="3">
        <v>2</v>
      </c>
      <c r="AC113" s="38" t="s">
        <v>290</v>
      </c>
      <c r="AD113" s="39">
        <v>15.487</v>
      </c>
      <c r="AE113" s="39">
        <v>11.246</v>
      </c>
      <c r="AF113" s="39">
        <v>1.377</v>
      </c>
      <c r="AG113" s="41">
        <v>0.64317000000000002</v>
      </c>
      <c r="CJ113" s="147"/>
      <c r="DB113" s="121">
        <v>1</v>
      </c>
      <c r="DC113" s="130">
        <v>27</v>
      </c>
      <c r="DD113" s="131">
        <v>10</v>
      </c>
      <c r="DE113" s="132">
        <v>6</v>
      </c>
      <c r="DF113" s="39">
        <v>2</v>
      </c>
      <c r="DG113" s="41">
        <v>0</v>
      </c>
    </row>
    <row r="114" spans="1:119" x14ac:dyDescent="0.25">
      <c r="A114" s="8">
        <v>23</v>
      </c>
      <c r="B114" s="5">
        <v>7</v>
      </c>
      <c r="C114" s="5">
        <v>10</v>
      </c>
      <c r="D114" s="4" t="s">
        <v>50</v>
      </c>
      <c r="E114" s="3">
        <v>3</v>
      </c>
      <c r="F114" s="3">
        <v>0</v>
      </c>
      <c r="AC114" s="71" t="s">
        <v>291</v>
      </c>
      <c r="AD114" s="72">
        <v>38.003</v>
      </c>
      <c r="AE114" s="72">
        <v>10.752000000000001</v>
      </c>
      <c r="AF114" s="72">
        <v>3.5350000000000001</v>
      </c>
      <c r="AG114" s="73" t="s">
        <v>299</v>
      </c>
      <c r="CJ114" s="147"/>
      <c r="DB114" s="123">
        <v>2</v>
      </c>
      <c r="DC114" s="131">
        <v>7</v>
      </c>
      <c r="DD114" s="69">
        <v>20</v>
      </c>
      <c r="DE114" s="131">
        <v>10</v>
      </c>
      <c r="DF114" s="131">
        <v>7</v>
      </c>
      <c r="DG114" s="41">
        <v>1</v>
      </c>
    </row>
    <row r="115" spans="1:119" x14ac:dyDescent="0.25">
      <c r="A115" s="8">
        <v>24</v>
      </c>
      <c r="B115" s="5">
        <v>10</v>
      </c>
      <c r="C115" s="5">
        <v>12</v>
      </c>
      <c r="D115" s="4" t="s">
        <v>50</v>
      </c>
      <c r="E115" s="8">
        <v>4</v>
      </c>
      <c r="F115" s="8">
        <v>2</v>
      </c>
      <c r="CJ115" s="147"/>
      <c r="DB115" s="123">
        <v>3</v>
      </c>
      <c r="DC115" s="132">
        <v>5</v>
      </c>
      <c r="DD115" s="132">
        <v>6</v>
      </c>
      <c r="DE115" s="69">
        <v>19</v>
      </c>
      <c r="DF115" s="131">
        <v>14</v>
      </c>
      <c r="DG115" s="41">
        <v>1</v>
      </c>
    </row>
    <row r="116" spans="1:119" x14ac:dyDescent="0.25">
      <c r="A116" s="8">
        <v>25</v>
      </c>
      <c r="B116" s="5">
        <v>11</v>
      </c>
      <c r="C116" s="5">
        <v>9</v>
      </c>
      <c r="D116" s="4" t="s">
        <v>50</v>
      </c>
      <c r="E116" s="3">
        <v>5</v>
      </c>
      <c r="F116" s="3">
        <v>2</v>
      </c>
      <c r="CJ116" s="147"/>
      <c r="DB116" s="123">
        <v>4</v>
      </c>
      <c r="DC116" s="132">
        <v>5</v>
      </c>
      <c r="DD116" s="131">
        <v>8</v>
      </c>
      <c r="DE116" s="131">
        <v>8</v>
      </c>
      <c r="DF116" s="69">
        <v>19</v>
      </c>
      <c r="DG116" s="133">
        <v>5</v>
      </c>
    </row>
    <row r="117" spans="1:119" x14ac:dyDescent="0.25">
      <c r="A117" s="8">
        <v>26</v>
      </c>
      <c r="B117" s="5">
        <v>8</v>
      </c>
      <c r="C117" s="5">
        <v>12</v>
      </c>
      <c r="D117" s="4" t="s">
        <v>50</v>
      </c>
      <c r="E117" s="3">
        <v>4</v>
      </c>
      <c r="F117" s="3">
        <v>2</v>
      </c>
      <c r="CJ117" s="147"/>
      <c r="DB117" s="123">
        <v>5</v>
      </c>
      <c r="DC117" s="39">
        <v>1</v>
      </c>
      <c r="DD117" s="39">
        <v>1</v>
      </c>
      <c r="DE117" s="39">
        <v>2</v>
      </c>
      <c r="DF117" s="39">
        <v>3</v>
      </c>
      <c r="DG117" s="134">
        <v>38</v>
      </c>
    </row>
    <row r="118" spans="1:119" x14ac:dyDescent="0.25">
      <c r="A118" s="8">
        <v>27</v>
      </c>
      <c r="B118" s="5">
        <v>9</v>
      </c>
      <c r="C118" s="5">
        <v>10</v>
      </c>
      <c r="D118" s="4" t="s">
        <v>50</v>
      </c>
      <c r="E118" s="3">
        <v>5</v>
      </c>
      <c r="F118" s="3">
        <v>2</v>
      </c>
      <c r="CJ118" s="147"/>
      <c r="DB118" s="124" t="s">
        <v>309</v>
      </c>
      <c r="DC118" s="125">
        <f>(DC113*$DB$113)+(DC114*$DB$114)+(DC115*$DB$115)+(DC116*$DB$116)+(DC117*$DB$117)</f>
        <v>81</v>
      </c>
      <c r="DD118" s="126">
        <f t="shared" ref="DD118:DG118" si="1">(DD113*$DB$113)+(DD114*$DB$114)+(DD115*$DB$115)+(DD116*$DB$116)+(DD117*$DB$117)</f>
        <v>105</v>
      </c>
      <c r="DE118" s="127">
        <f t="shared" si="1"/>
        <v>125</v>
      </c>
      <c r="DF118" s="128">
        <f t="shared" si="1"/>
        <v>149</v>
      </c>
      <c r="DG118" s="129">
        <f t="shared" si="1"/>
        <v>215</v>
      </c>
    </row>
    <row r="119" spans="1:119" ht="15.75" thickBot="1" x14ac:dyDescent="0.3">
      <c r="A119" s="8">
        <v>28</v>
      </c>
      <c r="B119" s="5">
        <v>6</v>
      </c>
      <c r="C119" s="5">
        <v>9</v>
      </c>
      <c r="D119" s="4" t="s">
        <v>50</v>
      </c>
      <c r="E119" s="3">
        <v>4</v>
      </c>
      <c r="F119" s="3">
        <v>2</v>
      </c>
      <c r="AK119" s="77"/>
      <c r="CJ119" s="147"/>
    </row>
    <row r="120" spans="1:119" ht="15.75" thickBot="1" x14ac:dyDescent="0.3">
      <c r="A120" s="8">
        <v>29</v>
      </c>
      <c r="B120" s="5">
        <v>11</v>
      </c>
      <c r="C120" s="5">
        <v>12</v>
      </c>
      <c r="D120" s="4" t="s">
        <v>50</v>
      </c>
      <c r="E120" s="3">
        <v>4</v>
      </c>
      <c r="F120" s="3">
        <v>2</v>
      </c>
      <c r="AK120" s="77"/>
      <c r="CJ120" s="147"/>
    </row>
    <row r="121" spans="1:119" ht="15.75" thickBot="1" x14ac:dyDescent="0.3">
      <c r="A121" s="8">
        <v>30</v>
      </c>
      <c r="B121" s="5">
        <v>7</v>
      </c>
      <c r="C121" s="5">
        <v>6</v>
      </c>
      <c r="D121" s="4" t="s">
        <v>50</v>
      </c>
      <c r="E121" s="3">
        <v>3</v>
      </c>
      <c r="F121" s="3">
        <v>2</v>
      </c>
      <c r="AK121" s="77"/>
      <c r="CJ121" s="147"/>
      <c r="DJ121" s="29"/>
    </row>
    <row r="122" spans="1:119" ht="15.75" thickBot="1" x14ac:dyDescent="0.3">
      <c r="A122" s="8">
        <v>31</v>
      </c>
      <c r="B122" s="5">
        <v>11</v>
      </c>
      <c r="C122" s="5">
        <v>11</v>
      </c>
      <c r="D122" s="4" t="s">
        <v>50</v>
      </c>
      <c r="E122" s="3">
        <v>5</v>
      </c>
      <c r="F122" s="3">
        <v>2</v>
      </c>
      <c r="AK122" s="77"/>
      <c r="CJ122" s="147"/>
      <c r="DJ122" s="29"/>
      <c r="DK122" s="139" t="s">
        <v>320</v>
      </c>
      <c r="DL122" s="48" t="s">
        <v>293</v>
      </c>
      <c r="DM122" s="48" t="s">
        <v>294</v>
      </c>
      <c r="DN122" s="48" t="s">
        <v>310</v>
      </c>
      <c r="DO122" s="49" t="s">
        <v>311</v>
      </c>
    </row>
    <row r="123" spans="1:119" x14ac:dyDescent="0.25">
      <c r="A123" s="8">
        <v>32</v>
      </c>
      <c r="B123" s="5">
        <v>9</v>
      </c>
      <c r="C123" s="5">
        <v>12</v>
      </c>
      <c r="D123" s="4" t="s">
        <v>50</v>
      </c>
      <c r="E123" s="3">
        <v>4</v>
      </c>
      <c r="F123" s="3">
        <v>2</v>
      </c>
      <c r="CJ123" s="147"/>
      <c r="DJ123" s="29"/>
      <c r="DK123" s="140" t="s">
        <v>289</v>
      </c>
      <c r="DL123" s="135">
        <v>-0.9778</v>
      </c>
      <c r="DM123" s="135">
        <v>0.21</v>
      </c>
      <c r="DN123" s="135">
        <v>-4.6550000000000002</v>
      </c>
      <c r="DO123" s="70" t="s">
        <v>279</v>
      </c>
    </row>
    <row r="124" spans="1:119" x14ac:dyDescent="0.25">
      <c r="A124" s="8">
        <v>33</v>
      </c>
      <c r="B124" s="5">
        <v>10</v>
      </c>
      <c r="C124" s="5">
        <v>11</v>
      </c>
      <c r="D124" s="4" t="s">
        <v>50</v>
      </c>
      <c r="E124" s="3">
        <v>5</v>
      </c>
      <c r="F124" s="3">
        <v>2</v>
      </c>
      <c r="CJ124" s="147"/>
      <c r="DJ124" s="29"/>
      <c r="DK124" s="141" t="s">
        <v>319</v>
      </c>
      <c r="DL124" s="136">
        <v>-0.44440000000000002</v>
      </c>
      <c r="DM124" s="136">
        <v>0.21</v>
      </c>
      <c r="DN124" s="136">
        <v>-2.1160000000000001</v>
      </c>
      <c r="DO124" s="137">
        <v>0.21790000000000001</v>
      </c>
    </row>
    <row r="125" spans="1:119" x14ac:dyDescent="0.25">
      <c r="A125" s="8">
        <v>34</v>
      </c>
      <c r="B125" s="5">
        <v>10</v>
      </c>
      <c r="C125" s="5">
        <v>8</v>
      </c>
      <c r="D125" s="4" t="s">
        <v>50</v>
      </c>
      <c r="E125" s="3">
        <v>5</v>
      </c>
      <c r="F125" s="3">
        <v>1</v>
      </c>
      <c r="CJ125" s="147"/>
      <c r="DJ125" s="29"/>
      <c r="DK125" s="140" t="s">
        <v>290</v>
      </c>
      <c r="DL125" s="135">
        <v>-2.4443999999999999</v>
      </c>
      <c r="DM125" s="135">
        <v>0.21</v>
      </c>
      <c r="DN125" s="135">
        <v>-11.638</v>
      </c>
      <c r="DO125" s="70" t="s">
        <v>279</v>
      </c>
    </row>
    <row r="126" spans="1:119" x14ac:dyDescent="0.25">
      <c r="A126" s="8">
        <v>35</v>
      </c>
      <c r="B126" s="5">
        <v>11</v>
      </c>
      <c r="C126" s="5">
        <v>12</v>
      </c>
      <c r="D126" s="4" t="s">
        <v>50</v>
      </c>
      <c r="E126" s="3">
        <v>5</v>
      </c>
      <c r="F126" s="3">
        <v>2</v>
      </c>
      <c r="DJ126" s="29"/>
      <c r="DK126" s="141" t="s">
        <v>312</v>
      </c>
      <c r="DL126" s="136">
        <v>0.5333</v>
      </c>
      <c r="DM126" s="136">
        <v>0.21</v>
      </c>
      <c r="DN126" s="136">
        <v>2.5390000000000001</v>
      </c>
      <c r="DO126" s="137">
        <v>8.6699999999999999E-2</v>
      </c>
    </row>
    <row r="127" spans="1:119" x14ac:dyDescent="0.25">
      <c r="A127" s="8">
        <v>36</v>
      </c>
      <c r="B127" s="5">
        <v>11</v>
      </c>
      <c r="C127" s="5">
        <v>11</v>
      </c>
      <c r="D127" s="4" t="s">
        <v>50</v>
      </c>
      <c r="E127" s="3">
        <v>5</v>
      </c>
      <c r="F127" s="3">
        <v>2</v>
      </c>
      <c r="DJ127" s="29"/>
      <c r="DK127" s="141" t="s">
        <v>313</v>
      </c>
      <c r="DL127" s="136">
        <v>0.5333</v>
      </c>
      <c r="DM127" s="136">
        <v>0.21</v>
      </c>
      <c r="DN127" s="136">
        <v>2.5390000000000001</v>
      </c>
      <c r="DO127" s="137">
        <v>8.6800000000000002E-2</v>
      </c>
    </row>
    <row r="128" spans="1:119" x14ac:dyDescent="0.25">
      <c r="A128" s="8">
        <v>37</v>
      </c>
      <c r="B128" s="5">
        <v>9</v>
      </c>
      <c r="C128" s="5">
        <v>12</v>
      </c>
      <c r="D128" s="4" t="s">
        <v>50</v>
      </c>
      <c r="E128" s="3">
        <v>5</v>
      </c>
      <c r="F128" s="3">
        <v>2</v>
      </c>
      <c r="DJ128" s="29"/>
      <c r="DK128" s="140" t="s">
        <v>314</v>
      </c>
      <c r="DL128" s="135">
        <v>-1.4666999999999999</v>
      </c>
      <c r="DM128" s="135">
        <v>0.21</v>
      </c>
      <c r="DN128" s="135">
        <v>-6.9829999999999997</v>
      </c>
      <c r="DO128" s="70" t="s">
        <v>279</v>
      </c>
    </row>
    <row r="129" spans="1:119" x14ac:dyDescent="0.25">
      <c r="A129" s="8">
        <v>38</v>
      </c>
      <c r="B129" s="5">
        <v>10</v>
      </c>
      <c r="C129" s="5">
        <v>8</v>
      </c>
      <c r="D129" s="4" t="s">
        <v>50</v>
      </c>
      <c r="E129" s="3">
        <v>5</v>
      </c>
      <c r="F129" s="3">
        <v>2</v>
      </c>
      <c r="AM129" s="74"/>
      <c r="AN129" s="74"/>
      <c r="DJ129" s="29"/>
      <c r="DK129" s="140" t="s">
        <v>315</v>
      </c>
      <c r="DL129" s="135">
        <v>1.5111000000000001</v>
      </c>
      <c r="DM129" s="135">
        <v>0.21</v>
      </c>
      <c r="DN129" s="135">
        <v>7.194</v>
      </c>
      <c r="DO129" s="70" t="s">
        <v>279</v>
      </c>
    </row>
    <row r="130" spans="1:119" ht="15.75" thickBot="1" x14ac:dyDescent="0.3">
      <c r="A130" s="8">
        <v>39</v>
      </c>
      <c r="B130" s="5">
        <v>6</v>
      </c>
      <c r="C130" s="5">
        <v>4</v>
      </c>
      <c r="D130" s="4" t="s">
        <v>50</v>
      </c>
      <c r="E130" s="3">
        <v>5</v>
      </c>
      <c r="F130" s="3">
        <v>2</v>
      </c>
      <c r="AL130" s="77"/>
      <c r="AM130" s="78"/>
      <c r="DJ130" s="29"/>
      <c r="DK130" s="140" t="s">
        <v>316</v>
      </c>
      <c r="DL130" s="135">
        <v>-2</v>
      </c>
      <c r="DM130" s="135">
        <v>0.21</v>
      </c>
      <c r="DN130" s="135">
        <v>-9.5220000000000002</v>
      </c>
      <c r="DO130" s="70" t="s">
        <v>279</v>
      </c>
    </row>
    <row r="131" spans="1:119" ht="15.75" thickBot="1" x14ac:dyDescent="0.3">
      <c r="A131" s="8">
        <v>40</v>
      </c>
      <c r="B131" s="5">
        <v>10</v>
      </c>
      <c r="C131" s="5">
        <v>11</v>
      </c>
      <c r="D131" s="4" t="s">
        <v>50</v>
      </c>
      <c r="E131" s="3">
        <v>5</v>
      </c>
      <c r="F131" s="3">
        <v>2</v>
      </c>
      <c r="AL131" s="77"/>
      <c r="AM131" s="75"/>
      <c r="DK131" s="140" t="s">
        <v>317</v>
      </c>
      <c r="DL131" s="135">
        <v>0.9778</v>
      </c>
      <c r="DM131" s="135">
        <v>0.21</v>
      </c>
      <c r="DN131" s="135">
        <v>4.6550000000000002</v>
      </c>
      <c r="DO131" s="70" t="s">
        <v>279</v>
      </c>
    </row>
    <row r="132" spans="1:119" ht="15.75" thickBot="1" x14ac:dyDescent="0.3">
      <c r="A132" s="8">
        <v>41</v>
      </c>
      <c r="B132" s="5">
        <v>11</v>
      </c>
      <c r="C132" s="5">
        <v>12</v>
      </c>
      <c r="D132" s="4" t="s">
        <v>50</v>
      </c>
      <c r="E132" s="3">
        <v>5</v>
      </c>
      <c r="F132" s="3">
        <v>2</v>
      </c>
      <c r="AL132" s="77"/>
      <c r="AM132" s="78"/>
      <c r="DK132" s="142" t="s">
        <v>318</v>
      </c>
      <c r="DL132" s="138">
        <v>2.9777999999999998</v>
      </c>
      <c r="DM132" s="138">
        <v>0.21</v>
      </c>
      <c r="DN132" s="138">
        <v>14.177</v>
      </c>
      <c r="DO132" s="73" t="s">
        <v>279</v>
      </c>
    </row>
    <row r="133" spans="1:119" ht="15.75" thickBot="1" x14ac:dyDescent="0.3">
      <c r="A133" s="8">
        <v>42</v>
      </c>
      <c r="B133" s="5">
        <v>7</v>
      </c>
      <c r="C133" s="5">
        <v>10</v>
      </c>
      <c r="D133" s="4" t="s">
        <v>50</v>
      </c>
      <c r="E133" s="3">
        <v>4</v>
      </c>
      <c r="F133" s="3">
        <v>1</v>
      </c>
      <c r="AL133" s="77"/>
      <c r="AM133" s="75"/>
    </row>
    <row r="134" spans="1:119" x14ac:dyDescent="0.25">
      <c r="A134" s="8">
        <v>43</v>
      </c>
      <c r="B134" s="5">
        <v>11</v>
      </c>
      <c r="C134" s="5">
        <v>13</v>
      </c>
      <c r="D134" s="4" t="s">
        <v>50</v>
      </c>
      <c r="E134" s="3">
        <v>4</v>
      </c>
      <c r="F134" s="3">
        <v>2</v>
      </c>
    </row>
    <row r="135" spans="1:119" x14ac:dyDescent="0.25">
      <c r="A135" s="8">
        <v>44</v>
      </c>
      <c r="B135" s="5">
        <v>10</v>
      </c>
      <c r="C135" s="5">
        <v>13</v>
      </c>
      <c r="D135" s="4" t="s">
        <v>50</v>
      </c>
      <c r="E135" s="3">
        <v>5</v>
      </c>
      <c r="F135" s="3">
        <v>2</v>
      </c>
    </row>
    <row r="136" spans="1:119" x14ac:dyDescent="0.25">
      <c r="A136" s="8">
        <v>45</v>
      </c>
      <c r="B136" s="5">
        <v>11</v>
      </c>
      <c r="C136" s="5">
        <v>11</v>
      </c>
      <c r="D136" s="4" t="s">
        <v>50</v>
      </c>
      <c r="E136" s="3">
        <v>5</v>
      </c>
      <c r="F136" s="3">
        <v>2</v>
      </c>
    </row>
    <row r="137" spans="1:119" x14ac:dyDescent="0.25">
      <c r="A137" s="8">
        <v>1</v>
      </c>
      <c r="B137" s="5">
        <v>11</v>
      </c>
      <c r="C137" s="5">
        <v>11</v>
      </c>
      <c r="D137" s="4" t="s">
        <v>60</v>
      </c>
      <c r="E137" s="3">
        <v>4</v>
      </c>
      <c r="F137" s="3">
        <v>0</v>
      </c>
    </row>
    <row r="138" spans="1:119" x14ac:dyDescent="0.25">
      <c r="A138" s="8">
        <v>2</v>
      </c>
      <c r="B138" s="5">
        <v>10</v>
      </c>
      <c r="C138" s="5">
        <v>13</v>
      </c>
      <c r="D138" s="4" t="s">
        <v>60</v>
      </c>
      <c r="E138" s="3">
        <v>2</v>
      </c>
      <c r="F138" s="3">
        <v>-2</v>
      </c>
    </row>
    <row r="139" spans="1:119" x14ac:dyDescent="0.25">
      <c r="A139" s="8">
        <v>3</v>
      </c>
      <c r="B139" s="5">
        <v>10</v>
      </c>
      <c r="C139" s="5">
        <v>13</v>
      </c>
      <c r="D139" s="4" t="s">
        <v>60</v>
      </c>
      <c r="E139" s="3">
        <v>4</v>
      </c>
      <c r="F139" s="3">
        <v>1</v>
      </c>
    </row>
    <row r="140" spans="1:119" x14ac:dyDescent="0.25">
      <c r="A140" s="8">
        <v>4</v>
      </c>
      <c r="B140" s="5">
        <v>11</v>
      </c>
      <c r="C140" s="5">
        <v>13</v>
      </c>
      <c r="D140" s="4" t="s">
        <v>60</v>
      </c>
      <c r="E140" s="3">
        <v>4</v>
      </c>
      <c r="F140" s="3">
        <v>1</v>
      </c>
    </row>
    <row r="141" spans="1:119" x14ac:dyDescent="0.25">
      <c r="A141" s="8">
        <v>5</v>
      </c>
      <c r="B141" s="5">
        <v>6</v>
      </c>
      <c r="C141" s="5">
        <v>12</v>
      </c>
      <c r="D141" s="4" t="s">
        <v>60</v>
      </c>
      <c r="E141" s="3">
        <v>3</v>
      </c>
      <c r="F141" s="3">
        <v>0</v>
      </c>
    </row>
    <row r="142" spans="1:119" x14ac:dyDescent="0.25">
      <c r="A142" s="8">
        <v>6</v>
      </c>
      <c r="B142" s="5">
        <v>10</v>
      </c>
      <c r="C142" s="5">
        <v>12</v>
      </c>
      <c r="D142" s="4" t="s">
        <v>60</v>
      </c>
      <c r="E142" s="3">
        <v>3</v>
      </c>
      <c r="F142" s="3">
        <v>0</v>
      </c>
    </row>
    <row r="143" spans="1:119" x14ac:dyDescent="0.25">
      <c r="A143" s="8">
        <v>7</v>
      </c>
      <c r="B143" s="5">
        <v>11</v>
      </c>
      <c r="C143" s="5">
        <v>11</v>
      </c>
      <c r="D143" s="4" t="s">
        <v>60</v>
      </c>
      <c r="E143" s="3">
        <v>5</v>
      </c>
      <c r="F143" s="3">
        <v>2</v>
      </c>
    </row>
    <row r="144" spans="1:119" x14ac:dyDescent="0.25">
      <c r="A144" s="8">
        <v>8</v>
      </c>
      <c r="B144" s="5">
        <v>11</v>
      </c>
      <c r="C144" s="5">
        <v>11</v>
      </c>
      <c r="D144" s="4" t="s">
        <v>60</v>
      </c>
      <c r="E144" s="3">
        <v>3</v>
      </c>
      <c r="F144" s="3">
        <v>-1</v>
      </c>
    </row>
    <row r="145" spans="1:6" x14ac:dyDescent="0.25">
      <c r="A145" s="8">
        <v>9</v>
      </c>
      <c r="B145" s="5">
        <v>11</v>
      </c>
      <c r="C145" s="5">
        <v>13</v>
      </c>
      <c r="D145" s="4" t="s">
        <v>60</v>
      </c>
      <c r="E145" s="3">
        <v>4</v>
      </c>
      <c r="F145" s="3">
        <v>1</v>
      </c>
    </row>
    <row r="146" spans="1:6" x14ac:dyDescent="0.25">
      <c r="A146" s="8">
        <v>10</v>
      </c>
      <c r="B146" s="5">
        <v>11</v>
      </c>
      <c r="C146" s="5">
        <v>13</v>
      </c>
      <c r="D146" s="4" t="s">
        <v>60</v>
      </c>
      <c r="E146" s="3">
        <v>4</v>
      </c>
      <c r="F146" s="3">
        <v>1</v>
      </c>
    </row>
    <row r="147" spans="1:6" x14ac:dyDescent="0.25">
      <c r="A147" s="8">
        <v>11</v>
      </c>
      <c r="B147" s="5">
        <v>11</v>
      </c>
      <c r="C147" s="5">
        <v>11</v>
      </c>
      <c r="D147" s="4" t="s">
        <v>60</v>
      </c>
      <c r="E147" s="3">
        <v>5</v>
      </c>
      <c r="F147" s="3">
        <v>1</v>
      </c>
    </row>
    <row r="148" spans="1:6" x14ac:dyDescent="0.25">
      <c r="A148" s="8">
        <v>12</v>
      </c>
      <c r="B148" s="5">
        <v>10</v>
      </c>
      <c r="C148" s="5">
        <v>11</v>
      </c>
      <c r="D148" s="4" t="s">
        <v>60</v>
      </c>
      <c r="E148" s="3">
        <v>4</v>
      </c>
      <c r="F148" s="3">
        <v>0</v>
      </c>
    </row>
    <row r="149" spans="1:6" x14ac:dyDescent="0.25">
      <c r="A149" s="8">
        <v>13</v>
      </c>
      <c r="B149" s="5">
        <v>9</v>
      </c>
      <c r="C149" s="5">
        <v>13</v>
      </c>
      <c r="D149" s="4" t="s">
        <v>60</v>
      </c>
      <c r="E149" s="3">
        <v>4</v>
      </c>
      <c r="F149" s="3">
        <v>0</v>
      </c>
    </row>
    <row r="150" spans="1:6" x14ac:dyDescent="0.25">
      <c r="A150" s="8">
        <v>14</v>
      </c>
      <c r="B150" s="5">
        <v>10</v>
      </c>
      <c r="C150" s="5">
        <v>11</v>
      </c>
      <c r="D150" s="4" t="s">
        <v>60</v>
      </c>
      <c r="E150" s="3">
        <v>4</v>
      </c>
      <c r="F150" s="3">
        <v>0</v>
      </c>
    </row>
    <row r="151" spans="1:6" x14ac:dyDescent="0.25">
      <c r="A151" s="8">
        <v>15</v>
      </c>
      <c r="B151" s="5">
        <v>11</v>
      </c>
      <c r="C151" s="5">
        <v>13</v>
      </c>
      <c r="D151" s="4" t="s">
        <v>60</v>
      </c>
      <c r="E151" s="3">
        <v>2</v>
      </c>
      <c r="F151" s="3">
        <v>-2</v>
      </c>
    </row>
    <row r="152" spans="1:6" x14ac:dyDescent="0.25">
      <c r="A152" s="8">
        <v>16</v>
      </c>
      <c r="B152" s="5">
        <v>10</v>
      </c>
      <c r="C152" s="5">
        <v>13</v>
      </c>
      <c r="D152" s="4" t="s">
        <v>60</v>
      </c>
      <c r="E152" s="3">
        <v>4</v>
      </c>
      <c r="F152" s="3">
        <v>2</v>
      </c>
    </row>
    <row r="153" spans="1:6" x14ac:dyDescent="0.25">
      <c r="A153" s="8">
        <v>17</v>
      </c>
      <c r="B153" s="5">
        <v>10</v>
      </c>
      <c r="C153" s="5">
        <v>12</v>
      </c>
      <c r="D153" s="4" t="s">
        <v>60</v>
      </c>
      <c r="E153" s="3">
        <v>1</v>
      </c>
      <c r="F153" s="3">
        <v>-2</v>
      </c>
    </row>
    <row r="154" spans="1:6" x14ac:dyDescent="0.25">
      <c r="A154" s="8">
        <v>18</v>
      </c>
      <c r="B154" s="5">
        <v>7</v>
      </c>
      <c r="C154" s="5">
        <v>11</v>
      </c>
      <c r="D154" s="4" t="s">
        <v>60</v>
      </c>
      <c r="E154" s="3">
        <v>4</v>
      </c>
      <c r="F154" s="3">
        <v>1</v>
      </c>
    </row>
    <row r="155" spans="1:6" x14ac:dyDescent="0.25">
      <c r="A155" s="8">
        <v>19</v>
      </c>
      <c r="B155" s="5">
        <v>10</v>
      </c>
      <c r="C155" s="5">
        <v>9</v>
      </c>
      <c r="D155" s="4" t="s">
        <v>60</v>
      </c>
      <c r="E155" s="3">
        <v>4</v>
      </c>
      <c r="F155" s="3">
        <v>-1</v>
      </c>
    </row>
    <row r="156" spans="1:6" x14ac:dyDescent="0.25">
      <c r="A156" s="8">
        <v>20</v>
      </c>
      <c r="B156" s="5">
        <v>10</v>
      </c>
      <c r="C156" s="5">
        <v>10</v>
      </c>
      <c r="D156" s="4" t="s">
        <v>60</v>
      </c>
      <c r="E156" s="3">
        <v>5</v>
      </c>
      <c r="F156" s="3">
        <v>-1</v>
      </c>
    </row>
    <row r="157" spans="1:6" x14ac:dyDescent="0.25">
      <c r="A157" s="8">
        <v>21</v>
      </c>
      <c r="B157" s="5">
        <v>11</v>
      </c>
      <c r="C157" s="5">
        <v>11</v>
      </c>
      <c r="D157" s="4" t="s">
        <v>60</v>
      </c>
      <c r="E157" s="3">
        <v>5</v>
      </c>
      <c r="F157" s="3">
        <v>1</v>
      </c>
    </row>
    <row r="158" spans="1:6" x14ac:dyDescent="0.25">
      <c r="A158" s="8">
        <v>22</v>
      </c>
      <c r="B158" s="5">
        <v>9</v>
      </c>
      <c r="C158" s="5">
        <v>8</v>
      </c>
      <c r="D158" s="4" t="s">
        <v>60</v>
      </c>
      <c r="E158" s="3">
        <v>3</v>
      </c>
      <c r="F158" s="3">
        <v>-1</v>
      </c>
    </row>
    <row r="159" spans="1:6" x14ac:dyDescent="0.25">
      <c r="A159" s="8">
        <v>23</v>
      </c>
      <c r="B159" s="5">
        <v>7</v>
      </c>
      <c r="C159" s="5">
        <v>10</v>
      </c>
      <c r="D159" s="4" t="s">
        <v>60</v>
      </c>
      <c r="E159" s="3">
        <v>2</v>
      </c>
      <c r="F159" s="3">
        <v>-2</v>
      </c>
    </row>
    <row r="160" spans="1:6" x14ac:dyDescent="0.25">
      <c r="A160" s="8">
        <v>24</v>
      </c>
      <c r="B160" s="5">
        <v>10</v>
      </c>
      <c r="C160" s="5">
        <v>12</v>
      </c>
      <c r="D160" s="4" t="s">
        <v>60</v>
      </c>
      <c r="E160" s="8">
        <v>4</v>
      </c>
      <c r="F160" s="8">
        <v>0</v>
      </c>
    </row>
    <row r="161" spans="1:6" x14ac:dyDescent="0.25">
      <c r="A161" s="8">
        <v>25</v>
      </c>
      <c r="B161" s="5">
        <v>11</v>
      </c>
      <c r="C161" s="5">
        <v>9</v>
      </c>
      <c r="D161" s="4" t="s">
        <v>60</v>
      </c>
      <c r="E161" s="3">
        <v>4</v>
      </c>
      <c r="F161" s="3">
        <v>1</v>
      </c>
    </row>
    <row r="162" spans="1:6" x14ac:dyDescent="0.25">
      <c r="A162" s="8">
        <v>26</v>
      </c>
      <c r="B162" s="5">
        <v>8</v>
      </c>
      <c r="C162" s="5">
        <v>12</v>
      </c>
      <c r="D162" s="4" t="s">
        <v>60</v>
      </c>
      <c r="E162" s="3">
        <v>4</v>
      </c>
      <c r="F162" s="3">
        <v>0</v>
      </c>
    </row>
    <row r="163" spans="1:6" x14ac:dyDescent="0.25">
      <c r="A163" s="8">
        <v>27</v>
      </c>
      <c r="B163" s="5">
        <v>9</v>
      </c>
      <c r="C163" s="5">
        <v>10</v>
      </c>
      <c r="D163" s="4" t="s">
        <v>60</v>
      </c>
      <c r="E163" s="3">
        <v>4</v>
      </c>
      <c r="F163" s="3">
        <v>0</v>
      </c>
    </row>
    <row r="164" spans="1:6" x14ac:dyDescent="0.25">
      <c r="A164" s="8">
        <v>28</v>
      </c>
      <c r="B164" s="5">
        <v>6</v>
      </c>
      <c r="C164" s="5">
        <v>9</v>
      </c>
      <c r="D164" s="4" t="s">
        <v>60</v>
      </c>
      <c r="E164" s="3">
        <v>3</v>
      </c>
      <c r="F164" s="3">
        <v>0</v>
      </c>
    </row>
    <row r="165" spans="1:6" x14ac:dyDescent="0.25">
      <c r="A165" s="8">
        <v>29</v>
      </c>
      <c r="B165" s="5">
        <v>11</v>
      </c>
      <c r="C165" s="5">
        <v>12</v>
      </c>
      <c r="D165" s="4" t="s">
        <v>60</v>
      </c>
      <c r="E165" s="3">
        <v>4</v>
      </c>
      <c r="F165" s="3">
        <v>0</v>
      </c>
    </row>
    <row r="166" spans="1:6" x14ac:dyDescent="0.25">
      <c r="A166" s="8">
        <v>30</v>
      </c>
      <c r="B166" s="5">
        <v>7</v>
      </c>
      <c r="C166" s="5">
        <v>6</v>
      </c>
      <c r="D166" s="4" t="s">
        <v>60</v>
      </c>
      <c r="E166" s="3">
        <v>3</v>
      </c>
      <c r="F166" s="3">
        <v>0</v>
      </c>
    </row>
    <row r="167" spans="1:6" x14ac:dyDescent="0.25">
      <c r="A167" s="8">
        <v>31</v>
      </c>
      <c r="B167" s="5">
        <v>11</v>
      </c>
      <c r="C167" s="5">
        <v>11</v>
      </c>
      <c r="D167" s="4" t="s">
        <v>60</v>
      </c>
      <c r="E167" s="3">
        <v>3</v>
      </c>
      <c r="F167" s="3">
        <v>-1</v>
      </c>
    </row>
    <row r="168" spans="1:6" x14ac:dyDescent="0.25">
      <c r="A168" s="8">
        <v>32</v>
      </c>
      <c r="B168" s="5">
        <v>9</v>
      </c>
      <c r="C168" s="5">
        <v>12</v>
      </c>
      <c r="D168" s="4" t="s">
        <v>60</v>
      </c>
      <c r="E168" s="3">
        <v>3</v>
      </c>
      <c r="F168" s="3">
        <v>-1</v>
      </c>
    </row>
    <row r="169" spans="1:6" x14ac:dyDescent="0.25">
      <c r="A169" s="8">
        <v>33</v>
      </c>
      <c r="B169" s="5">
        <v>10</v>
      </c>
      <c r="C169" s="5">
        <v>11</v>
      </c>
      <c r="D169" s="4" t="s">
        <v>60</v>
      </c>
      <c r="E169" s="3">
        <v>2</v>
      </c>
      <c r="F169" s="3">
        <v>-1</v>
      </c>
    </row>
    <row r="170" spans="1:6" x14ac:dyDescent="0.25">
      <c r="A170" s="8">
        <v>34</v>
      </c>
      <c r="B170" s="5">
        <v>10</v>
      </c>
      <c r="C170" s="5">
        <v>8</v>
      </c>
      <c r="D170" s="4" t="s">
        <v>60</v>
      </c>
      <c r="E170" s="3">
        <v>5</v>
      </c>
      <c r="F170" s="3">
        <v>0</v>
      </c>
    </row>
    <row r="171" spans="1:6" x14ac:dyDescent="0.25">
      <c r="A171" s="8">
        <v>35</v>
      </c>
      <c r="B171" s="5">
        <v>11</v>
      </c>
      <c r="C171" s="5">
        <v>12</v>
      </c>
      <c r="D171" s="4" t="s">
        <v>60</v>
      </c>
      <c r="E171" s="3">
        <v>4</v>
      </c>
      <c r="F171" s="3">
        <v>0</v>
      </c>
    </row>
    <row r="172" spans="1:6" x14ac:dyDescent="0.25">
      <c r="A172" s="8">
        <v>36</v>
      </c>
      <c r="B172" s="5">
        <v>11</v>
      </c>
      <c r="C172" s="5">
        <v>11</v>
      </c>
      <c r="D172" s="4" t="s">
        <v>60</v>
      </c>
      <c r="E172" s="3">
        <v>3</v>
      </c>
      <c r="F172" s="3">
        <v>-1</v>
      </c>
    </row>
    <row r="173" spans="1:6" x14ac:dyDescent="0.25">
      <c r="A173" s="8">
        <v>37</v>
      </c>
      <c r="B173" s="5">
        <v>9</v>
      </c>
      <c r="C173" s="5">
        <v>12</v>
      </c>
      <c r="D173" s="4" t="s">
        <v>60</v>
      </c>
      <c r="E173" s="3">
        <v>2</v>
      </c>
      <c r="F173" s="3">
        <v>-2</v>
      </c>
    </row>
    <row r="174" spans="1:6" x14ac:dyDescent="0.25">
      <c r="A174" s="8">
        <v>38</v>
      </c>
      <c r="B174" s="5">
        <v>10</v>
      </c>
      <c r="C174" s="5">
        <v>8</v>
      </c>
      <c r="D174" s="4" t="s">
        <v>60</v>
      </c>
      <c r="E174" s="3">
        <v>4</v>
      </c>
      <c r="F174" s="3">
        <v>0</v>
      </c>
    </row>
    <row r="175" spans="1:6" x14ac:dyDescent="0.25">
      <c r="A175" s="8">
        <v>39</v>
      </c>
      <c r="B175" s="5">
        <v>6</v>
      </c>
      <c r="C175" s="5">
        <v>4</v>
      </c>
      <c r="D175" s="4" t="s">
        <v>60</v>
      </c>
      <c r="E175" s="3">
        <v>2</v>
      </c>
      <c r="F175" s="3">
        <v>-1</v>
      </c>
    </row>
    <row r="176" spans="1:6" x14ac:dyDescent="0.25">
      <c r="A176" s="8">
        <v>40</v>
      </c>
      <c r="B176" s="5">
        <v>10</v>
      </c>
      <c r="C176" s="5">
        <v>11</v>
      </c>
      <c r="D176" s="4" t="s">
        <v>60</v>
      </c>
      <c r="E176" s="3">
        <v>4</v>
      </c>
      <c r="F176" s="3">
        <v>-1</v>
      </c>
    </row>
    <row r="177" spans="1:6" x14ac:dyDescent="0.25">
      <c r="A177" s="8">
        <v>41</v>
      </c>
      <c r="B177" s="5">
        <v>11</v>
      </c>
      <c r="C177" s="5">
        <v>12</v>
      </c>
      <c r="D177" s="4" t="s">
        <v>60</v>
      </c>
      <c r="E177" s="3">
        <v>5</v>
      </c>
      <c r="F177" s="3">
        <v>0</v>
      </c>
    </row>
    <row r="178" spans="1:6" x14ac:dyDescent="0.25">
      <c r="A178" s="8">
        <v>42</v>
      </c>
      <c r="B178" s="5">
        <v>7</v>
      </c>
      <c r="C178" s="5">
        <v>10</v>
      </c>
      <c r="D178" s="4" t="s">
        <v>60</v>
      </c>
      <c r="E178" s="3">
        <v>4</v>
      </c>
      <c r="F178" s="3">
        <v>0</v>
      </c>
    </row>
    <row r="179" spans="1:6" x14ac:dyDescent="0.25">
      <c r="A179" s="8">
        <v>43</v>
      </c>
      <c r="B179" s="5">
        <v>11</v>
      </c>
      <c r="C179" s="5">
        <v>13</v>
      </c>
      <c r="D179" s="4" t="s">
        <v>60</v>
      </c>
      <c r="E179" s="3">
        <v>2</v>
      </c>
      <c r="F179" s="3">
        <v>-2</v>
      </c>
    </row>
    <row r="180" spans="1:6" x14ac:dyDescent="0.25">
      <c r="A180" s="8">
        <v>44</v>
      </c>
      <c r="B180" s="5">
        <v>10</v>
      </c>
      <c r="C180" s="5">
        <v>13</v>
      </c>
      <c r="D180" s="4" t="s">
        <v>60</v>
      </c>
      <c r="E180" s="3">
        <v>4</v>
      </c>
      <c r="F180" s="3">
        <v>0</v>
      </c>
    </row>
    <row r="181" spans="1:6" x14ac:dyDescent="0.25">
      <c r="A181" s="8">
        <v>45</v>
      </c>
      <c r="B181" s="5">
        <v>11</v>
      </c>
      <c r="C181" s="5">
        <v>11</v>
      </c>
      <c r="D181" s="4" t="s">
        <v>60</v>
      </c>
      <c r="E181" s="3">
        <v>4</v>
      </c>
      <c r="F181" s="3">
        <v>0</v>
      </c>
    </row>
    <row r="182" spans="1:6" x14ac:dyDescent="0.25">
      <c r="A182" s="8">
        <v>1</v>
      </c>
      <c r="B182" s="5">
        <v>11</v>
      </c>
      <c r="C182" s="5">
        <v>11</v>
      </c>
      <c r="D182" s="4" t="s">
        <v>49</v>
      </c>
      <c r="E182" s="3">
        <v>5</v>
      </c>
      <c r="F182" s="3">
        <v>2</v>
      </c>
    </row>
    <row r="183" spans="1:6" x14ac:dyDescent="0.25">
      <c r="A183" s="8">
        <v>2</v>
      </c>
      <c r="B183" s="5">
        <v>10</v>
      </c>
      <c r="C183" s="5">
        <v>13</v>
      </c>
      <c r="D183" s="4" t="s">
        <v>49</v>
      </c>
      <c r="E183" s="3">
        <v>2</v>
      </c>
      <c r="F183" s="3">
        <v>-1</v>
      </c>
    </row>
    <row r="184" spans="1:6" x14ac:dyDescent="0.25">
      <c r="A184" s="8">
        <v>3</v>
      </c>
      <c r="B184" s="5">
        <v>10</v>
      </c>
      <c r="C184" s="5">
        <v>13</v>
      </c>
      <c r="D184" s="4" t="s">
        <v>49</v>
      </c>
      <c r="E184" s="3">
        <v>3</v>
      </c>
      <c r="F184" s="3">
        <v>0</v>
      </c>
    </row>
    <row r="185" spans="1:6" x14ac:dyDescent="0.25">
      <c r="A185" s="8">
        <v>4</v>
      </c>
      <c r="B185" s="5">
        <v>11</v>
      </c>
      <c r="C185" s="5">
        <v>13</v>
      </c>
      <c r="D185" s="4" t="s">
        <v>49</v>
      </c>
      <c r="E185" s="3">
        <v>4</v>
      </c>
      <c r="F185" s="3">
        <v>0</v>
      </c>
    </row>
    <row r="186" spans="1:6" x14ac:dyDescent="0.25">
      <c r="A186" s="8">
        <v>5</v>
      </c>
      <c r="B186" s="5">
        <v>6</v>
      </c>
      <c r="C186" s="5">
        <v>12</v>
      </c>
      <c r="D186" s="4" t="s">
        <v>49</v>
      </c>
      <c r="E186" s="3">
        <v>4</v>
      </c>
      <c r="F186" s="3">
        <v>1</v>
      </c>
    </row>
    <row r="187" spans="1:6" x14ac:dyDescent="0.25">
      <c r="A187" s="8">
        <v>6</v>
      </c>
      <c r="B187" s="5">
        <v>10</v>
      </c>
      <c r="C187" s="5">
        <v>12</v>
      </c>
      <c r="D187" s="4" t="s">
        <v>49</v>
      </c>
      <c r="E187" s="3">
        <v>4</v>
      </c>
      <c r="F187" s="3">
        <v>1</v>
      </c>
    </row>
    <row r="188" spans="1:6" x14ac:dyDescent="0.25">
      <c r="A188" s="8">
        <v>7</v>
      </c>
      <c r="B188" s="5">
        <v>11</v>
      </c>
      <c r="C188" s="5">
        <v>11</v>
      </c>
      <c r="D188" s="4" t="s">
        <v>49</v>
      </c>
      <c r="E188" s="3">
        <v>4</v>
      </c>
      <c r="F188" s="3">
        <v>0</v>
      </c>
    </row>
    <row r="189" spans="1:6" x14ac:dyDescent="0.25">
      <c r="A189" s="8">
        <v>8</v>
      </c>
      <c r="B189" s="5">
        <v>11</v>
      </c>
      <c r="C189" s="5">
        <v>11</v>
      </c>
      <c r="D189" s="4" t="s">
        <v>49</v>
      </c>
      <c r="E189" s="3">
        <v>4</v>
      </c>
      <c r="F189" s="3">
        <v>1</v>
      </c>
    </row>
    <row r="190" spans="1:6" x14ac:dyDescent="0.25">
      <c r="A190" s="8">
        <v>9</v>
      </c>
      <c r="B190" s="5">
        <v>11</v>
      </c>
      <c r="C190" s="5">
        <v>13</v>
      </c>
      <c r="D190" s="4" t="s">
        <v>49</v>
      </c>
      <c r="E190" s="3">
        <v>4</v>
      </c>
      <c r="F190" s="3">
        <v>0</v>
      </c>
    </row>
    <row r="191" spans="1:6" x14ac:dyDescent="0.25">
      <c r="A191" s="8">
        <v>10</v>
      </c>
      <c r="B191" s="5">
        <v>11</v>
      </c>
      <c r="C191" s="5">
        <v>13</v>
      </c>
      <c r="D191" s="4" t="s">
        <v>49</v>
      </c>
      <c r="E191" s="3">
        <v>3</v>
      </c>
      <c r="F191" s="3">
        <v>0</v>
      </c>
    </row>
    <row r="192" spans="1:6" x14ac:dyDescent="0.25">
      <c r="A192" s="8">
        <v>11</v>
      </c>
      <c r="B192" s="5">
        <v>11</v>
      </c>
      <c r="C192" s="5">
        <v>11</v>
      </c>
      <c r="D192" s="4" t="s">
        <v>49</v>
      </c>
      <c r="E192" s="3">
        <v>4</v>
      </c>
      <c r="F192" s="3">
        <v>0</v>
      </c>
    </row>
    <row r="193" spans="1:6" x14ac:dyDescent="0.25">
      <c r="A193" s="8">
        <v>12</v>
      </c>
      <c r="B193" s="5">
        <v>10</v>
      </c>
      <c r="C193" s="5">
        <v>11</v>
      </c>
      <c r="D193" s="4" t="s">
        <v>49</v>
      </c>
      <c r="E193" s="3">
        <v>4</v>
      </c>
      <c r="F193" s="3">
        <v>1</v>
      </c>
    </row>
    <row r="194" spans="1:6" x14ac:dyDescent="0.25">
      <c r="A194" s="8">
        <v>13</v>
      </c>
      <c r="B194" s="5">
        <v>9</v>
      </c>
      <c r="C194" s="5">
        <v>13</v>
      </c>
      <c r="D194" s="4" t="s">
        <v>49</v>
      </c>
      <c r="E194" s="3">
        <v>4</v>
      </c>
      <c r="F194" s="3">
        <v>1</v>
      </c>
    </row>
    <row r="195" spans="1:6" x14ac:dyDescent="0.25">
      <c r="A195" s="8">
        <v>14</v>
      </c>
      <c r="B195" s="5">
        <v>10</v>
      </c>
      <c r="C195" s="5">
        <v>11</v>
      </c>
      <c r="D195" s="4" t="s">
        <v>49</v>
      </c>
      <c r="E195" s="3">
        <v>3</v>
      </c>
      <c r="F195" s="3">
        <v>-1</v>
      </c>
    </row>
    <row r="196" spans="1:6" x14ac:dyDescent="0.25">
      <c r="A196" s="8">
        <v>15</v>
      </c>
      <c r="B196" s="5">
        <v>11</v>
      </c>
      <c r="C196" s="5">
        <v>13</v>
      </c>
      <c r="D196" s="4" t="s">
        <v>49</v>
      </c>
      <c r="E196" s="3">
        <v>4</v>
      </c>
      <c r="F196" s="3">
        <v>-1</v>
      </c>
    </row>
    <row r="197" spans="1:6" x14ac:dyDescent="0.25">
      <c r="A197" s="8">
        <v>16</v>
      </c>
      <c r="B197" s="5">
        <v>10</v>
      </c>
      <c r="C197" s="5">
        <v>13</v>
      </c>
      <c r="D197" s="4" t="s">
        <v>49</v>
      </c>
      <c r="E197" s="3">
        <v>4</v>
      </c>
      <c r="F197" s="3">
        <v>0</v>
      </c>
    </row>
    <row r="198" spans="1:6" x14ac:dyDescent="0.25">
      <c r="A198" s="8">
        <v>17</v>
      </c>
      <c r="B198" s="5">
        <v>10</v>
      </c>
      <c r="C198" s="5">
        <v>12</v>
      </c>
      <c r="D198" s="4" t="s">
        <v>49</v>
      </c>
      <c r="E198" s="3">
        <v>1</v>
      </c>
      <c r="F198" s="3">
        <v>-1</v>
      </c>
    </row>
    <row r="199" spans="1:6" x14ac:dyDescent="0.25">
      <c r="A199" s="8">
        <v>18</v>
      </c>
      <c r="B199" s="5">
        <v>7</v>
      </c>
      <c r="C199" s="5">
        <v>11</v>
      </c>
      <c r="D199" s="4" t="s">
        <v>49</v>
      </c>
      <c r="E199" s="3">
        <v>4</v>
      </c>
      <c r="F199" s="3">
        <v>0</v>
      </c>
    </row>
    <row r="200" spans="1:6" x14ac:dyDescent="0.25">
      <c r="A200" s="8">
        <v>19</v>
      </c>
      <c r="B200" s="5">
        <v>10</v>
      </c>
      <c r="C200" s="5">
        <v>9</v>
      </c>
      <c r="D200" s="4" t="s">
        <v>49</v>
      </c>
      <c r="E200" s="3">
        <v>5</v>
      </c>
      <c r="F200" s="3">
        <v>1</v>
      </c>
    </row>
    <row r="201" spans="1:6" x14ac:dyDescent="0.25">
      <c r="A201" s="8">
        <v>20</v>
      </c>
      <c r="B201" s="5">
        <v>10</v>
      </c>
      <c r="C201" s="5">
        <v>10</v>
      </c>
      <c r="D201" s="4" t="s">
        <v>49</v>
      </c>
      <c r="E201" s="3">
        <v>5</v>
      </c>
      <c r="F201" s="3">
        <v>1</v>
      </c>
    </row>
    <row r="202" spans="1:6" x14ac:dyDescent="0.25">
      <c r="A202" s="8">
        <v>21</v>
      </c>
      <c r="B202" s="5">
        <v>11</v>
      </c>
      <c r="C202" s="5">
        <v>11</v>
      </c>
      <c r="D202" s="4" t="s">
        <v>49</v>
      </c>
      <c r="E202" s="3">
        <v>5</v>
      </c>
      <c r="F202" s="3">
        <v>0</v>
      </c>
    </row>
    <row r="203" spans="1:6" x14ac:dyDescent="0.25">
      <c r="A203" s="8">
        <v>22</v>
      </c>
      <c r="B203" s="5">
        <v>9</v>
      </c>
      <c r="C203" s="5">
        <v>8</v>
      </c>
      <c r="D203" s="4" t="s">
        <v>49</v>
      </c>
      <c r="E203" s="3">
        <v>4</v>
      </c>
      <c r="F203" s="3">
        <v>0</v>
      </c>
    </row>
    <row r="204" spans="1:6" x14ac:dyDescent="0.25">
      <c r="A204" s="8">
        <v>23</v>
      </c>
      <c r="B204" s="5">
        <v>7</v>
      </c>
      <c r="C204" s="5">
        <v>10</v>
      </c>
      <c r="D204" s="4" t="s">
        <v>49</v>
      </c>
      <c r="E204" s="3">
        <v>2</v>
      </c>
      <c r="F204" s="3">
        <v>-1</v>
      </c>
    </row>
    <row r="205" spans="1:6" x14ac:dyDescent="0.25">
      <c r="A205" s="8">
        <v>24</v>
      </c>
      <c r="B205" s="5">
        <v>10</v>
      </c>
      <c r="C205" s="5">
        <v>12</v>
      </c>
      <c r="D205" s="4" t="s">
        <v>49</v>
      </c>
      <c r="E205" s="8">
        <v>4</v>
      </c>
      <c r="F205" s="8">
        <v>1</v>
      </c>
    </row>
    <row r="206" spans="1:6" x14ac:dyDescent="0.25">
      <c r="A206" s="8">
        <v>25</v>
      </c>
      <c r="B206" s="5">
        <v>11</v>
      </c>
      <c r="C206" s="5">
        <v>9</v>
      </c>
      <c r="D206" s="4" t="s">
        <v>49</v>
      </c>
      <c r="E206" s="3">
        <v>4</v>
      </c>
      <c r="F206" s="3">
        <v>0</v>
      </c>
    </row>
    <row r="207" spans="1:6" x14ac:dyDescent="0.25">
      <c r="A207" s="8">
        <v>26</v>
      </c>
      <c r="B207" s="5">
        <v>8</v>
      </c>
      <c r="C207" s="5">
        <v>12</v>
      </c>
      <c r="D207" s="4" t="s">
        <v>49</v>
      </c>
      <c r="E207" s="3">
        <v>4</v>
      </c>
      <c r="F207" s="3">
        <v>1</v>
      </c>
    </row>
    <row r="208" spans="1:6" x14ac:dyDescent="0.25">
      <c r="A208" s="8">
        <v>27</v>
      </c>
      <c r="B208" s="5">
        <v>9</v>
      </c>
      <c r="C208" s="5">
        <v>10</v>
      </c>
      <c r="D208" s="4" t="s">
        <v>49</v>
      </c>
      <c r="E208" s="3">
        <v>5</v>
      </c>
      <c r="F208" s="3">
        <v>1</v>
      </c>
    </row>
    <row r="209" spans="1:6" x14ac:dyDescent="0.25">
      <c r="A209" s="8">
        <v>28</v>
      </c>
      <c r="B209" s="5">
        <v>6</v>
      </c>
      <c r="C209" s="5">
        <v>9</v>
      </c>
      <c r="D209" s="4" t="s">
        <v>49</v>
      </c>
      <c r="E209" s="3">
        <v>3</v>
      </c>
      <c r="F209" s="3">
        <v>1</v>
      </c>
    </row>
    <row r="210" spans="1:6" x14ac:dyDescent="0.25">
      <c r="A210" s="8">
        <v>29</v>
      </c>
      <c r="B210" s="5">
        <v>11</v>
      </c>
      <c r="C210" s="5">
        <v>12</v>
      </c>
      <c r="D210" s="4" t="s">
        <v>49</v>
      </c>
      <c r="E210" s="3">
        <v>5</v>
      </c>
      <c r="F210" s="3">
        <v>1</v>
      </c>
    </row>
    <row r="211" spans="1:6" x14ac:dyDescent="0.25">
      <c r="A211" s="8">
        <v>30</v>
      </c>
      <c r="B211" s="5">
        <v>7</v>
      </c>
      <c r="C211" s="5">
        <v>6</v>
      </c>
      <c r="D211" s="4" t="s">
        <v>49</v>
      </c>
      <c r="E211" s="3">
        <v>2</v>
      </c>
      <c r="F211" s="3">
        <v>1</v>
      </c>
    </row>
    <row r="212" spans="1:6" x14ac:dyDescent="0.25">
      <c r="A212" s="8">
        <v>31</v>
      </c>
      <c r="B212" s="5">
        <v>11</v>
      </c>
      <c r="C212" s="5">
        <v>11</v>
      </c>
      <c r="D212" s="4" t="s">
        <v>49</v>
      </c>
      <c r="E212" s="3">
        <v>4</v>
      </c>
      <c r="F212" s="3">
        <v>1</v>
      </c>
    </row>
    <row r="213" spans="1:6" x14ac:dyDescent="0.25">
      <c r="A213" s="8">
        <v>32</v>
      </c>
      <c r="B213" s="5">
        <v>9</v>
      </c>
      <c r="C213" s="5">
        <v>12</v>
      </c>
      <c r="D213" s="4" t="s">
        <v>49</v>
      </c>
      <c r="E213" s="3">
        <v>2</v>
      </c>
      <c r="F213" s="3">
        <v>0</v>
      </c>
    </row>
    <row r="214" spans="1:6" x14ac:dyDescent="0.25">
      <c r="A214" s="8">
        <v>33</v>
      </c>
      <c r="B214" s="5">
        <v>10</v>
      </c>
      <c r="C214" s="5">
        <v>11</v>
      </c>
      <c r="D214" s="4" t="s">
        <v>49</v>
      </c>
      <c r="E214" s="3">
        <v>3</v>
      </c>
      <c r="F214" s="3">
        <v>0</v>
      </c>
    </row>
    <row r="215" spans="1:6" x14ac:dyDescent="0.25">
      <c r="A215" s="8">
        <v>34</v>
      </c>
      <c r="B215" s="5">
        <v>10</v>
      </c>
      <c r="C215" s="5">
        <v>8</v>
      </c>
      <c r="D215" s="4" t="s">
        <v>49</v>
      </c>
      <c r="E215" s="3">
        <v>5</v>
      </c>
      <c r="F215" s="3">
        <v>2</v>
      </c>
    </row>
    <row r="216" spans="1:6" x14ac:dyDescent="0.25">
      <c r="A216" s="8">
        <v>35</v>
      </c>
      <c r="B216" s="5">
        <v>11</v>
      </c>
      <c r="C216" s="5">
        <v>12</v>
      </c>
      <c r="D216" s="4" t="s">
        <v>49</v>
      </c>
      <c r="E216" s="3">
        <v>4</v>
      </c>
      <c r="F216" s="3">
        <v>1</v>
      </c>
    </row>
    <row r="217" spans="1:6" x14ac:dyDescent="0.25">
      <c r="A217" s="8">
        <v>36</v>
      </c>
      <c r="B217" s="5">
        <v>11</v>
      </c>
      <c r="C217" s="5">
        <v>11</v>
      </c>
      <c r="D217" s="4" t="s">
        <v>49</v>
      </c>
      <c r="E217" s="3">
        <v>2</v>
      </c>
      <c r="F217" s="3">
        <v>-2</v>
      </c>
    </row>
    <row r="218" spans="1:6" x14ac:dyDescent="0.25">
      <c r="A218" s="8">
        <v>37</v>
      </c>
      <c r="B218" s="5">
        <v>9</v>
      </c>
      <c r="C218" s="5">
        <v>12</v>
      </c>
      <c r="D218" s="4" t="s">
        <v>49</v>
      </c>
      <c r="E218" s="3">
        <v>2</v>
      </c>
      <c r="F218" s="3">
        <v>-1</v>
      </c>
    </row>
    <row r="219" spans="1:6" x14ac:dyDescent="0.25">
      <c r="A219" s="8">
        <v>38</v>
      </c>
      <c r="B219" s="5">
        <v>10</v>
      </c>
      <c r="C219" s="5">
        <v>8</v>
      </c>
      <c r="D219" s="4" t="s">
        <v>49</v>
      </c>
      <c r="E219" s="3">
        <v>4</v>
      </c>
      <c r="F219" s="3">
        <v>1</v>
      </c>
    </row>
    <row r="220" spans="1:6" x14ac:dyDescent="0.25">
      <c r="A220" s="8">
        <v>39</v>
      </c>
      <c r="B220" s="5">
        <v>6</v>
      </c>
      <c r="C220" s="5">
        <v>4</v>
      </c>
      <c r="D220" s="4" t="s">
        <v>49</v>
      </c>
      <c r="E220" s="3">
        <v>2</v>
      </c>
      <c r="F220" s="3">
        <v>0</v>
      </c>
    </row>
    <row r="221" spans="1:6" x14ac:dyDescent="0.25">
      <c r="A221" s="8">
        <v>40</v>
      </c>
      <c r="B221" s="5">
        <v>10</v>
      </c>
      <c r="C221" s="5">
        <v>11</v>
      </c>
      <c r="D221" s="4" t="s">
        <v>49</v>
      </c>
      <c r="E221" s="3">
        <v>3</v>
      </c>
      <c r="F221" s="3">
        <v>1</v>
      </c>
    </row>
    <row r="222" spans="1:6" x14ac:dyDescent="0.25">
      <c r="A222" s="8">
        <v>41</v>
      </c>
      <c r="B222" s="5">
        <v>11</v>
      </c>
      <c r="C222" s="5">
        <v>12</v>
      </c>
      <c r="D222" s="4" t="s">
        <v>49</v>
      </c>
      <c r="E222" s="3">
        <v>5</v>
      </c>
      <c r="F222" s="3">
        <v>1</v>
      </c>
    </row>
    <row r="223" spans="1:6" x14ac:dyDescent="0.25">
      <c r="A223" s="8">
        <v>42</v>
      </c>
      <c r="B223" s="5">
        <v>7</v>
      </c>
      <c r="C223" s="5">
        <v>10</v>
      </c>
      <c r="D223" s="4" t="s">
        <v>49</v>
      </c>
      <c r="E223" s="3">
        <v>5</v>
      </c>
      <c r="F223" s="3">
        <v>2</v>
      </c>
    </row>
    <row r="224" spans="1:6" x14ac:dyDescent="0.25">
      <c r="A224" s="8">
        <v>43</v>
      </c>
      <c r="B224" s="5">
        <v>11</v>
      </c>
      <c r="C224" s="5">
        <v>13</v>
      </c>
      <c r="D224" s="4" t="s">
        <v>49</v>
      </c>
      <c r="E224" s="3">
        <v>2</v>
      </c>
      <c r="F224" s="3">
        <v>-1</v>
      </c>
    </row>
    <row r="225" spans="1:6" x14ac:dyDescent="0.25">
      <c r="A225" s="8">
        <v>44</v>
      </c>
      <c r="B225" s="5">
        <v>10</v>
      </c>
      <c r="C225" s="5">
        <v>13</v>
      </c>
      <c r="D225" s="4" t="s">
        <v>49</v>
      </c>
      <c r="E225" s="3">
        <v>5</v>
      </c>
      <c r="F225" s="3">
        <v>1</v>
      </c>
    </row>
    <row r="226" spans="1:6" x14ac:dyDescent="0.25">
      <c r="A226" s="8">
        <v>45</v>
      </c>
      <c r="B226" s="5">
        <v>11</v>
      </c>
      <c r="C226" s="5">
        <v>11</v>
      </c>
      <c r="D226" s="4" t="s">
        <v>49</v>
      </c>
      <c r="E226" s="3">
        <v>2</v>
      </c>
      <c r="F226" s="3">
        <v>-2</v>
      </c>
    </row>
  </sheetData>
  <mergeCells count="18">
    <mergeCell ref="AC103:AG103"/>
    <mergeCell ref="CB92:CD92"/>
    <mergeCell ref="AT94:AY94"/>
    <mergeCell ref="BO94:BY94"/>
    <mergeCell ref="BB94:BM94"/>
    <mergeCell ref="K8:M8"/>
    <mergeCell ref="T21:W21"/>
    <mergeCell ref="Q68:U68"/>
    <mergeCell ref="DD92:DH92"/>
    <mergeCell ref="DI92:DM92"/>
    <mergeCell ref="CJ96:CJ100"/>
    <mergeCell ref="CJ101:CJ105"/>
    <mergeCell ref="CT102:CX102"/>
    <mergeCell ref="DC111:DG111"/>
    <mergeCell ref="CJ106:CJ110"/>
    <mergeCell ref="CJ111:CJ115"/>
    <mergeCell ref="CJ116:CJ120"/>
    <mergeCell ref="CJ121:CJ1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DForiginal</vt:lpstr>
      <vt:lpstr>Means&amp;SD</vt:lpstr>
      <vt:lpstr>performance</vt:lpstr>
      <vt:lpstr>experience</vt:lpstr>
    </vt:vector>
  </TitlesOfParts>
  <Company>University of Manchester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Manuele Reani</dc:creator>
  <cp:lastModifiedBy>Manuele Reani</cp:lastModifiedBy>
  <dcterms:created xsi:type="dcterms:W3CDTF">2016-06-06T17:46:03Z</dcterms:created>
  <dcterms:modified xsi:type="dcterms:W3CDTF">2016-09-21T19:25:00Z</dcterms:modified>
</cp:coreProperties>
</file>