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s Cooling" sheetId="1" state="visible" r:id="rId2"/>
    <sheet name="Abs Ventillation" sheetId="2" state="visible" r:id="rId3"/>
    <sheet name="OT1-Emergency" sheetId="3" state="visible" r:id="rId4"/>
    <sheet name="OT1-3" sheetId="4" state="visible" r:id="rId5"/>
    <sheet name="ICU" sheetId="5" state="visible" r:id="rId6"/>
    <sheet name="Pediatric" sheetId="6" state="visible" r:id="rId7"/>
    <sheet name="Labour room" sheetId="7" state="visible" r:id="rId8"/>
    <sheet name="VALUES" sheetId="8" state="visible" r:id="rId9"/>
    <sheet name="CMO room" sheetId="9" state="visible" r:id="rId10"/>
    <sheet name="Clinical Pathology" sheetId="10" state="visible" r:id="rId11"/>
    <sheet name="MS room" sheetId="11" state="visible" r:id="rId12"/>
    <sheet name="X-Ray" sheetId="12" state="visible" r:id="rId13"/>
  </sheets>
  <definedNames>
    <definedName function="false" hidden="false" localSheetId="9" name="_xlnm.Print_Area" vbProcedure="false">'Clinical Pathology'!$A$1:$K$123</definedName>
    <definedName function="false" hidden="false" localSheetId="8" name="_xlnm.Print_Area" vbProcedure="false">'CMO room'!$A$1:$K$123</definedName>
    <definedName function="false" hidden="false" localSheetId="4" name="_xlnm.Print_Area" vbProcedure="false">ICU!$A$1:$K$123</definedName>
    <definedName function="false" hidden="false" localSheetId="6" name="_xlnm.Print_Area" vbProcedure="false">'Labour room'!$A$1:$K$123</definedName>
    <definedName function="false" hidden="false" localSheetId="10" name="_xlnm.Print_Area" vbProcedure="false">'MS room'!$A$1:$K$123</definedName>
    <definedName function="false" hidden="false" localSheetId="3" name="_xlnm.Print_Area" vbProcedure="false">'OT1-3'!$A$1:$K$123</definedName>
    <definedName function="false" hidden="false" localSheetId="2" name="_xlnm.Print_Area" vbProcedure="false">'OT1-Emergency'!$A$1:$K$123</definedName>
    <definedName function="false" hidden="false" localSheetId="5" name="_xlnm.Print_Area" vbProcedure="false">Pediatric!$A$1:$K$123</definedName>
    <definedName function="false" hidden="false" localSheetId="11" name="_xlnm.Print_Area" vbProcedure="false">'X-Ray'!$A$1:$K$123</definedName>
    <definedName function="false" hidden="false" localSheetId="2" name="_xlnm.Print_Area_0" vbProcedure="false">'OT1-Emergency'!$A$1:$K$124</definedName>
    <definedName function="false" hidden="false" localSheetId="2" name="_xlnm.Print_Area_0_0" vbProcedure="false">'OT1-Emergency'!$A$1:$K$126</definedName>
    <definedName function="false" hidden="false" localSheetId="2" name="_xlnm.Print_Area_0_0_0" vbProcedure="false">'OT1-Emergency'!$A$1:$L$125</definedName>
    <definedName function="false" hidden="false" localSheetId="3" name="_xlnm.Print_Area_0" vbProcedure="false">'OT1-3'!$A$1:$K$124</definedName>
    <definedName function="false" hidden="false" localSheetId="3" name="_xlnm.Print_Area_0_0" vbProcedure="false">'OT1-3'!$A$1:$K$126</definedName>
    <definedName function="false" hidden="false" localSheetId="3" name="_xlnm.Print_Area_0_0_0" vbProcedure="false">'OT1-3'!$A$1:$L$125</definedName>
    <definedName function="false" hidden="false" localSheetId="4" name="_xlnm.Print_Area_0" vbProcedure="false">ICU!$A$1:$K$124</definedName>
    <definedName function="false" hidden="false" localSheetId="4" name="_xlnm.Print_Area_0_0" vbProcedure="false">ICU!$A$1:$K$126</definedName>
    <definedName function="false" hidden="false" localSheetId="4" name="_xlnm.Print_Area_0_0_0" vbProcedure="false">ICU!$A$1:$L$125</definedName>
    <definedName function="false" hidden="false" localSheetId="5" name="_xlnm.Print_Area_0" vbProcedure="false">Pediatric!$A$1:$K$124</definedName>
    <definedName function="false" hidden="false" localSheetId="5" name="_xlnm.Print_Area_0_0" vbProcedure="false">Pediatric!$A$1:$K$126</definedName>
    <definedName function="false" hidden="false" localSheetId="5" name="_xlnm.Print_Area_0_0_0" vbProcedure="false">Pediatric!$A$1:$L$125</definedName>
    <definedName function="false" hidden="false" localSheetId="6" name="_xlnm.Print_Area_0" vbProcedure="false">'Labour room'!$A$1:$K$124</definedName>
    <definedName function="false" hidden="false" localSheetId="6" name="_xlnm.Print_Area_0_0" vbProcedure="false">'Labour room'!$A$1:$K$126</definedName>
    <definedName function="false" hidden="false" localSheetId="6" name="_xlnm.Print_Area_0_0_0" vbProcedure="false">'Labour room'!$A$1:$L$125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8" authorId="0">
      <text>
        <r>
          <rPr>
            <sz val="11"/>
            <color rgb="FF000000"/>
            <rFont val="Comic Sans MS"/>
            <family val="4"/>
            <charset val="1"/>
          </rPr>
          <t xml:space="preserve">22℃ Indoor Air Temperature considered</t>
        </r>
      </text>
    </comment>
    <comment ref="I11" authorId="0">
      <text>
        <r>
          <rPr>
            <sz val="11"/>
            <color rgb="FF000000"/>
            <rFont val="Comic Sans MS"/>
            <family val="4"/>
            <charset val="1"/>
          </rPr>
          <t xml:space="preserve">3 times calculated value used considering part load operation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5" authorId="0">
      <text>
        <r>
          <rPr>
            <sz val="8"/>
            <color rgb="FF000000"/>
            <rFont val="Comfortaa"/>
            <family val="0"/>
            <charset val="1"/>
          </rPr>
          <t xml:space="preserve">+ve Pressure to be maintained</t>
        </r>
      </text>
    </comment>
    <comment ref="F103" authorId="0">
      <text>
        <r>
          <rPr>
            <sz val="8"/>
            <color rgb="FF000000"/>
            <rFont val="Comfortaa"/>
            <family val="0"/>
            <charset val="1"/>
          </rPr>
          <t xml:space="preserve">Temperature required to be reset to acheive minimum 20 ACH requirement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5" authorId="0">
      <text>
        <r>
          <rPr>
            <sz val="8"/>
            <color rgb="FF000000"/>
            <rFont val="Comfortaa"/>
            <family val="0"/>
            <charset val="1"/>
          </rPr>
          <t xml:space="preserve">+ve Pressure to be maintained</t>
        </r>
      </text>
    </comment>
    <comment ref="F103" authorId="0">
      <text>
        <r>
          <rPr>
            <sz val="8"/>
            <color rgb="FF000000"/>
            <rFont val="Comfortaa"/>
            <family val="0"/>
            <charset val="1"/>
          </rPr>
          <t xml:space="preserve">Temperature required to be reset to acheive minimum 20 ACH requirement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5" authorId="0">
      <text>
        <r>
          <rPr>
            <sz val="8"/>
            <color rgb="FF000000"/>
            <rFont val="Comfortaa"/>
            <family val="0"/>
            <charset val="1"/>
          </rPr>
          <t xml:space="preserve">+ve Pressure to be maintained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5" authorId="0">
      <text>
        <r>
          <rPr>
            <sz val="8"/>
            <color rgb="FF000000"/>
            <rFont val="Comfortaa"/>
            <family val="0"/>
            <charset val="1"/>
          </rPr>
          <t xml:space="preserve">+ve Pressure to be maintained</t>
        </r>
      </text>
    </comment>
  </commentList>
</comments>
</file>

<file path=xl/sharedStrings.xml><?xml version="1.0" encoding="utf-8"?>
<sst xmlns="http://schemas.openxmlformats.org/spreadsheetml/2006/main" count="2240" uniqueCount="309">
  <si>
    <t xml:space="preserve">COOLING LOAD CALCULATION SHEET</t>
  </si>
  <si>
    <t xml:space="preserve">Sl.No</t>
  </si>
  <si>
    <t xml:space="preserve">Description</t>
  </si>
  <si>
    <t xml:space="preserve">L</t>
  </si>
  <si>
    <t xml:space="preserve">B</t>
  </si>
  <si>
    <t xml:space="preserve">H</t>
  </si>
  <si>
    <t xml:space="preserve">Area</t>
  </si>
  <si>
    <t xml:space="preserve">CMH</t>
  </si>
  <si>
    <t xml:space="preserve">Cooling coil</t>
  </si>
  <si>
    <t xml:space="preserve">Heating coil</t>
  </si>
  <si>
    <t xml:space="preserve"># of rows of cooling coil</t>
  </si>
  <si>
    <t xml:space="preserve">Static head (supply)</t>
  </si>
  <si>
    <t xml:space="preserve">Motor power</t>
  </si>
  <si>
    <t xml:space="preserve">Selected CMH for return air blowers</t>
  </si>
  <si>
    <t xml:space="preserve">Static head (exhaust)</t>
  </si>
  <si>
    <t xml:space="preserve">m</t>
  </si>
  <si>
    <t xml:space="preserve">sq.m</t>
  </si>
  <si>
    <t xml:space="preserve">Tr</t>
  </si>
  <si>
    <t xml:space="preserve">kW</t>
  </si>
  <si>
    <t xml:space="preserve">Pa</t>
  </si>
  <si>
    <t xml:space="preserve">hp</t>
  </si>
  <si>
    <t xml:space="preserve">100% FRESH AIR (22℃, 50-60% RH) (Pre, Fine, HEPA filters)</t>
  </si>
  <si>
    <t xml:space="preserve">A</t>
  </si>
  <si>
    <t xml:space="preserve">GROUND FLOOR</t>
  </si>
  <si>
    <t xml:space="preserve">Emergency OT – AHU1</t>
  </si>
  <si>
    <t xml:space="preserve">FIRST FLOOR</t>
  </si>
  <si>
    <t xml:space="preserve">OT1 – AHU2</t>
  </si>
  <si>
    <t xml:space="preserve">OT3 – AHU3</t>
  </si>
  <si>
    <t xml:space="preserve">OT3 – AHU4</t>
  </si>
  <si>
    <t xml:space="preserve">Capacity of hot water generator -&gt;</t>
  </si>
  <si>
    <t xml:space="preserve">After reducing Tr by 30% considering ERW -&gt;</t>
  </si>
  <si>
    <t xml:space="preserve">20% RECIRCULATORY AHU  (22/24℃, 60% RH) (Pre, Fine filters)</t>
  </si>
  <si>
    <t xml:space="preserve">ICU – AHU5</t>
  </si>
  <si>
    <t xml:space="preserve">Pediatric – AHU6</t>
  </si>
  <si>
    <t xml:space="preserve">Labour room – AHU7</t>
  </si>
  <si>
    <t xml:space="preserve">FCUs</t>
  </si>
  <si>
    <t xml:space="preserve">Sqm/TR</t>
  </si>
  <si>
    <t xml:space="preserve">Temp</t>
  </si>
  <si>
    <t xml:space="preserve">#1.5TR Hiwall</t>
  </si>
  <si>
    <t xml:space="preserve">#2TR
Hiwall</t>
  </si>
  <si>
    <t xml:space="preserve">#3TR
FCU</t>
  </si>
  <si>
    <t xml:space="preserve">CMO Room</t>
  </si>
  <si>
    <t xml:space="preserve">X-Ray 1</t>
  </si>
  <si>
    <t xml:space="preserve">X-Ray 2</t>
  </si>
  <si>
    <t xml:space="preserve">Ultrasonic</t>
  </si>
  <si>
    <t xml:space="preserve">ECG room</t>
  </si>
  <si>
    <t xml:space="preserve">C</t>
  </si>
  <si>
    <t xml:space="preserve">SECOND FLOOR</t>
  </si>
  <si>
    <t xml:space="preserve">MS Room</t>
  </si>
  <si>
    <t xml:space="preserve">Dy MS Room</t>
  </si>
  <si>
    <t xml:space="preserve">Urinalysis</t>
  </si>
  <si>
    <t xml:space="preserve">Bio-chemistry</t>
  </si>
  <si>
    <t xml:space="preserve">Media room</t>
  </si>
  <si>
    <t xml:space="preserve">Serology</t>
  </si>
  <si>
    <t xml:space="preserve">Histology</t>
  </si>
  <si>
    <t xml:space="preserve">Clinical pathology</t>
  </si>
  <si>
    <t xml:space="preserve">Connected TR</t>
  </si>
  <si>
    <t xml:space="preserve">With DF of 80%</t>
  </si>
  <si>
    <t xml:space="preserve">Add future expansion @ 30%</t>
  </si>
  <si>
    <t xml:space="preserve">Chiller capacity -&gt;</t>
  </si>
  <si>
    <t xml:space="preserve">3x100</t>
  </si>
  <si>
    <t xml:space="preserve">(2W+1S)</t>
  </si>
  <si>
    <t xml:space="preserve">VENTILATION CALCULATION SHEET</t>
  </si>
  <si>
    <t xml:space="preserve">Volume</t>
  </si>
  <si>
    <t xml:space="preserve">ACH required</t>
  </si>
  <si>
    <t xml:space="preserve">Selected CMH for supply air blowers</t>
  </si>
  <si>
    <t xml:space="preserve">Static head (return)</t>
  </si>
  <si>
    <t xml:space="preserve">Remarks</t>
  </si>
  <si>
    <t xml:space="preserve">cum</t>
  </si>
  <si>
    <t xml:space="preserve">Canteen</t>
  </si>
  <si>
    <t xml:space="preserve">Exhaust hood</t>
  </si>
  <si>
    <t xml:space="preserve">IAD Fan</t>
  </si>
  <si>
    <t xml:space="preserve">Kitchen</t>
  </si>
  <si>
    <t xml:space="preserve">Cooking range hood</t>
  </si>
  <si>
    <t xml:space="preserve">Dosa, chapathi hoods</t>
  </si>
  <si>
    <t xml:space="preserve">Steam condensate hood</t>
  </si>
  <si>
    <t xml:space="preserve">IAD &amp; FAD Fans</t>
  </si>
  <si>
    <t xml:space="preserve">Laundry</t>
  </si>
  <si>
    <t xml:space="preserve">Isolation Ward</t>
  </si>
  <si>
    <t xml:space="preserve">CSSD</t>
  </si>
  <si>
    <t xml:space="preserve">Return IAD fan &amp; Supply FAD fan with Pre, Fine filters</t>
  </si>
  <si>
    <t xml:space="preserve">Isolation Ward (Maternity)</t>
  </si>
  <si>
    <t xml:space="preserve">Isolation Ward (Surgery)</t>
  </si>
  <si>
    <t xml:space="preserve">Isolation Room</t>
  </si>
  <si>
    <t xml:space="preserve">Blood store</t>
  </si>
  <si>
    <t xml:space="preserve">2# 300Φ industrial exhaust fan</t>
  </si>
  <si>
    <t xml:space="preserve">HEAT LOAD ESTIMATION SHEET</t>
  </si>
  <si>
    <t xml:space="preserve">JOB/REF No.</t>
  </si>
  <si>
    <t xml:space="preserve">ESTIMATED BY:-</t>
  </si>
  <si>
    <t xml:space="preserve">DATE:-</t>
  </si>
  <si>
    <t xml:space="preserve">LOCATION:-</t>
  </si>
  <si>
    <t xml:space="preserve">ESIC Hospital, Thirippur, Emergency OT</t>
  </si>
  <si>
    <t xml:space="preserve">CHECKED BY:-</t>
  </si>
  <si>
    <t xml:space="preserve">SHEET</t>
  </si>
  <si>
    <t xml:space="preserve">OF</t>
  </si>
  <si>
    <t xml:space="preserve">APPROVED BY:-</t>
  </si>
  <si>
    <t xml:space="preserve">DESIGN DATA</t>
  </si>
  <si>
    <t xml:space="preserve">SUMMER</t>
  </si>
  <si>
    <r>
      <rPr>
        <sz val="8"/>
        <rFont val="Comic Sans MS"/>
        <family val="4"/>
        <charset val="1"/>
      </rPr>
      <t xml:space="preserve">To, </t>
    </r>
    <r>
      <rPr>
        <vertAlign val="superscript"/>
        <sz val="8"/>
        <rFont val="Comic Sans MS"/>
        <family val="4"/>
        <charset val="1"/>
      </rPr>
      <t xml:space="preserve">O</t>
    </r>
    <r>
      <rPr>
        <sz val="8"/>
        <rFont val="Comic Sans MS"/>
        <family val="4"/>
        <charset val="1"/>
      </rPr>
      <t xml:space="preserve">C</t>
    </r>
  </si>
  <si>
    <r>
      <rPr>
        <sz val="8"/>
        <rFont val="Comic Sans MS"/>
        <family val="4"/>
        <charset val="1"/>
      </rPr>
      <t xml:space="preserve">Ti, </t>
    </r>
    <r>
      <rPr>
        <vertAlign val="superscript"/>
        <sz val="8"/>
        <rFont val="Comic Sans MS"/>
        <family val="4"/>
        <charset val="1"/>
      </rPr>
      <t xml:space="preserve">O</t>
    </r>
    <r>
      <rPr>
        <sz val="8"/>
        <rFont val="Comic Sans MS"/>
        <family val="4"/>
        <charset val="1"/>
      </rPr>
      <t xml:space="preserve">C</t>
    </r>
  </si>
  <si>
    <r>
      <rPr>
        <sz val="8"/>
        <rFont val="Comic Sans MS"/>
        <family val="4"/>
        <charset val="1"/>
      </rPr>
      <t xml:space="preserve">DR </t>
    </r>
    <r>
      <rPr>
        <vertAlign val="superscript"/>
        <sz val="8"/>
        <rFont val="Comic Sans MS"/>
        <family val="4"/>
        <charset val="1"/>
      </rPr>
      <t xml:space="preserve">O</t>
    </r>
    <r>
      <rPr>
        <sz val="8"/>
        <rFont val="Comic Sans MS"/>
        <family val="4"/>
        <charset val="1"/>
      </rPr>
      <t xml:space="preserve">C</t>
    </r>
  </si>
  <si>
    <t xml:space="preserve">Notes:</t>
  </si>
  <si>
    <t xml:space="preserve">d.b. TEMPERATURE</t>
  </si>
  <si>
    <t xml:space="preserve">   1. All dimensions in metres.</t>
  </si>
  <si>
    <t xml:space="preserve">RELATIVE HUMIDITY</t>
  </si>
  <si>
    <t xml:space="preserve">HUMIDITY RATIO</t>
  </si>
  <si>
    <t xml:space="preserve">DAILY RANGE</t>
  </si>
  <si>
    <t xml:space="preserve">RAINY</t>
  </si>
  <si>
    <t xml:space="preserve">LATITUDE:-</t>
  </si>
  <si>
    <t xml:space="preserve">12°N</t>
  </si>
  <si>
    <t xml:space="preserve">WALL:-</t>
  </si>
  <si>
    <t xml:space="preserve">LIGHT</t>
  </si>
  <si>
    <t xml:space="preserve">MEDIUM</t>
  </si>
  <si>
    <t xml:space="preserve">DARK</t>
  </si>
  <si>
    <t xml:space="preserve">ROOF:-</t>
  </si>
  <si>
    <t xml:space="preserve">GLAZING:-</t>
  </si>
  <si>
    <t xml:space="preserve">BLINDS</t>
  </si>
  <si>
    <t xml:space="preserve">SHADE</t>
  </si>
  <si>
    <t xml:space="preserve">BARE</t>
  </si>
  <si>
    <t xml:space="preserve">TRANSMITTED HEAT GAINS AND LOSSES</t>
  </si>
  <si>
    <t xml:space="preserve">ITEM</t>
  </si>
  <si>
    <t xml:space="preserve"> DESCRIPTION</t>
  </si>
  <si>
    <t xml:space="preserve">AREA, </t>
  </si>
  <si>
    <t xml:space="preserve">U</t>
  </si>
  <si>
    <t xml:space="preserve">HEAT</t>
  </si>
  <si>
    <t xml:space="preserve">No.</t>
  </si>
  <si>
    <r>
      <rPr>
        <sz val="8"/>
        <rFont val="Comic Sans MS"/>
        <family val="4"/>
        <charset val="1"/>
      </rPr>
      <t xml:space="preserve">m</t>
    </r>
    <r>
      <rPr>
        <vertAlign val="superscript"/>
        <sz val="8"/>
        <rFont val="Comic Sans MS"/>
        <family val="4"/>
        <charset val="1"/>
      </rPr>
      <t xml:space="preserve">2</t>
    </r>
  </si>
  <si>
    <t xml:space="preserve">VALUE</t>
  </si>
  <si>
    <r>
      <rPr>
        <sz val="8"/>
        <rFont val="Comic Sans MS"/>
        <family val="4"/>
        <charset val="1"/>
      </rPr>
      <t xml:space="preserve">TEMP DIFF </t>
    </r>
    <r>
      <rPr>
        <vertAlign val="superscript"/>
        <sz val="8"/>
        <rFont val="Comic Sans MS"/>
        <family val="4"/>
        <charset val="1"/>
      </rPr>
      <t xml:space="preserve">O</t>
    </r>
    <r>
      <rPr>
        <sz val="8"/>
        <rFont val="Comic Sans MS"/>
        <family val="4"/>
        <charset val="1"/>
      </rPr>
      <t xml:space="preserve">C</t>
    </r>
  </si>
  <si>
    <t xml:space="preserve">GAIN, W.</t>
  </si>
  <si>
    <t xml:space="preserve"> EXT. WALL N</t>
  </si>
  <si>
    <t xml:space="preserve"> EXT. WALL NE</t>
  </si>
  <si>
    <t xml:space="preserve"> EXT. WALL E</t>
  </si>
  <si>
    <t xml:space="preserve"> EXT. WALL SE</t>
  </si>
  <si>
    <t xml:space="preserve"> EXT. WALL S</t>
  </si>
  <si>
    <t xml:space="preserve"> EXT. WALL SW</t>
  </si>
  <si>
    <t xml:space="preserve"> EXT. WALL W</t>
  </si>
  <si>
    <t xml:space="preserve">CLTD Summer</t>
  </si>
  <si>
    <t xml:space="preserve">CLTD Rainy</t>
  </si>
  <si>
    <t xml:space="preserve"> EXT. WALL NW</t>
  </si>
  <si>
    <t xml:space="preserve"> EXT. GLASS N</t>
  </si>
  <si>
    <t xml:space="preserve"> EXT. GLASS NE</t>
  </si>
  <si>
    <t xml:space="preserve"> EXT. GLASS E</t>
  </si>
  <si>
    <t xml:space="preserve"> EXT. GLASS SE</t>
  </si>
  <si>
    <t xml:space="preserve"> EXT. GLASS S</t>
  </si>
  <si>
    <t xml:space="preserve"> EXT. GLASS SW</t>
  </si>
  <si>
    <t xml:space="preserve"> EXT. GLASS W</t>
  </si>
  <si>
    <t xml:space="preserve"> EXT. GLASS NW</t>
  </si>
  <si>
    <t xml:space="preserve"> INT. WALLS.</t>
  </si>
  <si>
    <t xml:space="preserve"> INT. GLASS.</t>
  </si>
  <si>
    <t xml:space="preserve"> FLOOR WITHOUT CONDITIONED SPACE BELOW</t>
  </si>
  <si>
    <t xml:space="preserve"> ROOF EXPOSED</t>
  </si>
  <si>
    <t xml:space="preserve"> ROOF NON EXPOSED WITHOUT CONDITIONED SPACE ABOVE</t>
  </si>
  <si>
    <t xml:space="preserve"> ROOF LIGHTS</t>
  </si>
  <si>
    <t xml:space="preserve"> MISC.</t>
  </si>
  <si>
    <t xml:space="preserve"> TOTAL GAINS AND LOSSES, W.</t>
  </si>
  <si>
    <t xml:space="preserve">SOLAR HEAT GAINS</t>
  </si>
  <si>
    <t xml:space="preserve">ITEM.NO.</t>
  </si>
  <si>
    <r>
      <rPr>
        <sz val="8"/>
        <rFont val="Comic Sans MS"/>
        <family val="4"/>
        <charset val="1"/>
      </rPr>
      <t xml:space="preserve">AREA, m</t>
    </r>
    <r>
      <rPr>
        <vertAlign val="superscript"/>
        <sz val="8"/>
        <rFont val="Comic Sans MS"/>
        <family val="4"/>
        <charset val="1"/>
      </rPr>
      <t xml:space="preserve">2</t>
    </r>
  </si>
  <si>
    <t xml:space="preserve">SHADING COEFFICIENT</t>
  </si>
  <si>
    <t xml:space="preserve">COOLING LOAD FACTOR</t>
  </si>
  <si>
    <t xml:space="preserve">SHGF</t>
  </si>
  <si>
    <t xml:space="preserve">HEAT GAIN, W.</t>
  </si>
  <si>
    <t xml:space="preserve">Solar time used -&gt;</t>
  </si>
  <si>
    <t xml:space="preserve"> ROOFLIGHTS.</t>
  </si>
  <si>
    <t xml:space="preserve"> TOTAL SOLAR HEAT GAINS, W.</t>
  </si>
  <si>
    <t xml:space="preserve">BODY GAINS</t>
  </si>
  <si>
    <t xml:space="preserve">CLF</t>
  </si>
  <si>
    <t xml:space="preserve">SENS., W.</t>
  </si>
  <si>
    <t xml:space="preserve">LAT., W.</t>
  </si>
  <si>
    <t xml:space="preserve"> NO.</t>
  </si>
  <si>
    <t xml:space="preserve">x</t>
  </si>
  <si>
    <t xml:space="preserve"> TOTAL BODY GAIN.</t>
  </si>
  <si>
    <t xml:space="preserve">EQUIPMENT GAINS</t>
  </si>
  <si>
    <t xml:space="preserve">USAGE &amp; DIV FACTOR</t>
  </si>
  <si>
    <t xml:space="preserve">LIGHTING.</t>
  </si>
  <si>
    <t xml:space="preserve">SMALL APPLIANCES</t>
  </si>
  <si>
    <t xml:space="preserve">LARGE APPLIANCES</t>
  </si>
  <si>
    <t xml:space="preserve">ELECTRICAL PLANTS</t>
  </si>
  <si>
    <t xml:space="preserve">AREA LOADING LIGHT</t>
  </si>
  <si>
    <t xml:space="preserve">AREA LOADING POWER</t>
  </si>
  <si>
    <t xml:space="preserve">MISC. SENSIBLE</t>
  </si>
  <si>
    <t xml:space="preserve">MISC. LATENT</t>
  </si>
  <si>
    <t xml:space="preserve">D</t>
  </si>
  <si>
    <t xml:space="preserve">TOTAL EQUIPMENT GAINS, W.</t>
  </si>
  <si>
    <t xml:space="preserve">INFILTRATION GAINS</t>
  </si>
  <si>
    <t xml:space="preserve">AREA</t>
  </si>
  <si>
    <t xml:space="preserve">HEIGHT</t>
  </si>
  <si>
    <t xml:space="preserve">ac/h</t>
  </si>
  <si>
    <t xml:space="preserve">+</t>
  </si>
  <si>
    <t xml:space="preserve">E</t>
  </si>
  <si>
    <t xml:space="preserve">TOTAL INFILTRATION GAINS.</t>
  </si>
  <si>
    <t xml:space="preserve">HEAT GAIN SUMMARY</t>
  </si>
  <si>
    <t xml:space="preserve">ITEM No.</t>
  </si>
  <si>
    <t xml:space="preserve">GAIN, kW.</t>
  </si>
  <si>
    <t xml:space="preserve">TRANSMITTANCE.</t>
  </si>
  <si>
    <t xml:space="preserve">Room S.H.R. (%)</t>
  </si>
  <si>
    <t xml:space="preserve">SOLAR.</t>
  </si>
  <si>
    <t xml:space="preserve">No. of Air Changes per hour</t>
  </si>
  <si>
    <t xml:space="preserve">BODY</t>
  </si>
  <si>
    <r>
      <rPr>
        <i val="true"/>
        <sz val="8"/>
        <color rgb="FFCE181E"/>
        <rFont val="Comic Sans MS"/>
        <family val="4"/>
        <charset val="1"/>
      </rPr>
      <t xml:space="preserve">T</t>
    </r>
    <r>
      <rPr>
        <i val="true"/>
        <vertAlign val="subscript"/>
        <sz val="8"/>
        <color rgb="FFCE181E"/>
        <rFont val="Comic Sans MS"/>
        <family val="4"/>
        <charset val="1"/>
      </rPr>
      <t xml:space="preserve">OUT, BAL</t>
    </r>
    <r>
      <rPr>
        <i val="true"/>
        <sz val="8"/>
        <color rgb="FFCE181E"/>
        <rFont val="Comic Sans MS"/>
        <family val="4"/>
        <charset val="1"/>
      </rPr>
      <t xml:space="preserve"> (</t>
    </r>
    <r>
      <rPr>
        <i val="true"/>
        <vertAlign val="superscript"/>
        <sz val="8"/>
        <color rgb="FFCE181E"/>
        <rFont val="Comic Sans MS"/>
        <family val="4"/>
        <charset val="1"/>
      </rPr>
      <t xml:space="preserve">O</t>
    </r>
    <r>
      <rPr>
        <i val="true"/>
        <sz val="8"/>
        <color rgb="FFCE181E"/>
        <rFont val="Comic Sans MS"/>
        <family val="4"/>
        <charset val="1"/>
      </rPr>
      <t xml:space="preserve">C)</t>
    </r>
  </si>
  <si>
    <t xml:space="preserve">EQUIPMENT</t>
  </si>
  <si>
    <t xml:space="preserve">Solar time used for glass load</t>
  </si>
  <si>
    <t xml:space="preserve">INFILTRATION.</t>
  </si>
  <si>
    <t xml:space="preserve">I</t>
  </si>
  <si>
    <t xml:space="preserve">TOTAL ROOM SENSIBLE</t>
  </si>
  <si>
    <t xml:space="preserve">EQUIPMENT.</t>
  </si>
  <si>
    <t xml:space="preserve">II</t>
  </si>
  <si>
    <t xml:space="preserve">TOTAL ROOM LATENT</t>
  </si>
  <si>
    <t xml:space="preserve">III</t>
  </si>
  <si>
    <t xml:space="preserve">TOTAL ROOM HEAT LOAD</t>
  </si>
  <si>
    <r>
      <rPr>
        <sz val="8"/>
        <rFont val="Comic Sans MS"/>
        <family val="4"/>
        <charset val="1"/>
      </rPr>
      <t xml:space="preserve">ROOM SUPPLY AIR TEMP (</t>
    </r>
    <r>
      <rPr>
        <vertAlign val="superscript"/>
        <sz val="8"/>
        <rFont val="Comic Sans MS"/>
        <family val="4"/>
        <charset val="1"/>
      </rPr>
      <t xml:space="preserve">O</t>
    </r>
    <r>
      <rPr>
        <sz val="8"/>
        <rFont val="Comic Sans MS"/>
        <family val="4"/>
        <charset val="1"/>
      </rPr>
      <t xml:space="preserve">C)</t>
    </r>
  </si>
  <si>
    <r>
      <rPr>
        <sz val="8"/>
        <rFont val="Comic Sans MS"/>
        <family val="4"/>
        <charset val="1"/>
      </rPr>
      <t xml:space="preserve">PRELIMINARY S.A.V. (m</t>
    </r>
    <r>
      <rPr>
        <vertAlign val="superscript"/>
        <sz val="8"/>
        <rFont val="Comic Sans MS"/>
        <family val="4"/>
        <charset val="1"/>
      </rPr>
      <t xml:space="preserve">3</t>
    </r>
    <r>
      <rPr>
        <sz val="8"/>
        <rFont val="Comic Sans MS"/>
        <family val="4"/>
        <charset val="1"/>
      </rPr>
      <t xml:space="preserve">/s)</t>
    </r>
  </si>
  <si>
    <t xml:space="preserve">IV</t>
  </si>
  <si>
    <r>
      <rPr>
        <b val="true"/>
        <sz val="8"/>
        <rFont val="Comic Sans MS"/>
        <family val="4"/>
        <charset val="1"/>
      </rPr>
      <t xml:space="preserve">DUCT GAIN = 1230 x SAV x 1</t>
    </r>
    <r>
      <rPr>
        <b val="true"/>
        <vertAlign val="superscript"/>
        <sz val="8"/>
        <rFont val="Comic Sans MS"/>
        <family val="4"/>
        <charset val="1"/>
      </rPr>
      <t xml:space="preserve">O</t>
    </r>
    <r>
      <rPr>
        <b val="true"/>
        <sz val="8"/>
        <rFont val="Comic Sans MS"/>
        <family val="4"/>
        <charset val="1"/>
      </rPr>
      <t xml:space="preserve">C (W)</t>
    </r>
  </si>
  <si>
    <t xml:space="preserve">V</t>
  </si>
  <si>
    <t xml:space="preserve">FAN GAIN (W)</t>
  </si>
  <si>
    <r>
      <rPr>
        <sz val="8"/>
        <rFont val="Comic Sans MS"/>
        <family val="4"/>
        <charset val="1"/>
      </rPr>
      <t xml:space="preserve">S.A.V. INC. DUCT GAIN &amp; FAN POWER  (m</t>
    </r>
    <r>
      <rPr>
        <vertAlign val="superscript"/>
        <sz val="8"/>
        <rFont val="Comic Sans MS"/>
        <family val="4"/>
        <charset val="1"/>
      </rPr>
      <t xml:space="preserve">3</t>
    </r>
    <r>
      <rPr>
        <sz val="8"/>
        <rFont val="Comic Sans MS"/>
        <family val="4"/>
        <charset val="1"/>
      </rPr>
      <t xml:space="preserve">/s)</t>
    </r>
  </si>
  <si>
    <t xml:space="preserve">MIN HUMIDITY RATIO REQUIRED FOR SUPPLY AIR</t>
  </si>
  <si>
    <t xml:space="preserve">MIXING RATIO (% FRESH AIR)</t>
  </si>
  <si>
    <t xml:space="preserve">COIL BYPASS FACTOR</t>
  </si>
  <si>
    <r>
      <rPr>
        <sz val="8"/>
        <rFont val="Comic Sans MS"/>
        <family val="4"/>
        <charset val="1"/>
      </rPr>
      <t xml:space="preserve">TEMPERATURE OF MIXED AIR (</t>
    </r>
    <r>
      <rPr>
        <vertAlign val="superscript"/>
        <sz val="8"/>
        <rFont val="Comic Sans MS"/>
        <family val="4"/>
        <charset val="1"/>
      </rPr>
      <t xml:space="preserve">O</t>
    </r>
    <r>
      <rPr>
        <sz val="8"/>
        <rFont val="Comic Sans MS"/>
        <family val="4"/>
        <charset val="1"/>
      </rPr>
      <t xml:space="preserve">C)</t>
    </r>
  </si>
  <si>
    <t xml:space="preserve">HUMIDITY RATIO OF MIXED AIR</t>
  </si>
  <si>
    <r>
      <rPr>
        <sz val="8"/>
        <rFont val="Comic Sans MS"/>
        <family val="4"/>
        <charset val="1"/>
      </rPr>
      <t xml:space="preserve">W</t>
    </r>
    <r>
      <rPr>
        <vertAlign val="subscript"/>
        <sz val="8"/>
        <rFont val="Comic Sans MS"/>
        <family val="4"/>
        <charset val="1"/>
      </rPr>
      <t xml:space="preserve">ADP</t>
    </r>
    <r>
      <rPr>
        <sz val="8"/>
        <rFont val="Comic Sans MS"/>
        <family val="4"/>
        <charset val="1"/>
      </rPr>
      <t xml:space="preserve"> OF COOLING COIL</t>
    </r>
  </si>
  <si>
    <r>
      <rPr>
        <sz val="8"/>
        <color rgb="FFCE181E"/>
        <rFont val="Comic Sans MS"/>
        <family val="4"/>
        <charset val="1"/>
      </rPr>
      <t xml:space="preserve">T</t>
    </r>
    <r>
      <rPr>
        <vertAlign val="subscript"/>
        <sz val="8"/>
        <color rgb="FFCE181E"/>
        <rFont val="Comic Sans MS"/>
        <family val="4"/>
        <charset val="1"/>
      </rPr>
      <t xml:space="preserve">ADP</t>
    </r>
    <r>
      <rPr>
        <sz val="8"/>
        <color rgb="FFCE181E"/>
        <rFont val="Comic Sans MS"/>
        <family val="4"/>
        <charset val="1"/>
      </rPr>
      <t xml:space="preserve">  OF COOLING COIL (</t>
    </r>
    <r>
      <rPr>
        <vertAlign val="superscript"/>
        <sz val="8"/>
        <color rgb="FFCE181E"/>
        <rFont val="Comic Sans MS"/>
        <family val="4"/>
        <charset val="1"/>
      </rPr>
      <t xml:space="preserve">O</t>
    </r>
    <r>
      <rPr>
        <sz val="8"/>
        <color rgb="FFCE181E"/>
        <rFont val="Comic Sans MS"/>
        <family val="4"/>
        <charset val="1"/>
      </rPr>
      <t xml:space="preserve">C)</t>
    </r>
  </si>
  <si>
    <r>
      <rPr>
        <sz val="8"/>
        <rFont val="Comic Sans MS"/>
        <family val="4"/>
        <charset val="1"/>
      </rPr>
      <t xml:space="preserve">SUPPLY AIR TEMP OF COOLING COIL (</t>
    </r>
    <r>
      <rPr>
        <vertAlign val="superscript"/>
        <sz val="8"/>
        <rFont val="Comic Sans MS"/>
        <family val="4"/>
        <charset val="1"/>
      </rPr>
      <t xml:space="preserve">O</t>
    </r>
    <r>
      <rPr>
        <sz val="8"/>
        <rFont val="Comic Sans MS"/>
        <family val="4"/>
        <charset val="1"/>
      </rPr>
      <t xml:space="preserve">C)</t>
    </r>
  </si>
  <si>
    <t xml:space="preserve">VI</t>
  </si>
  <si>
    <t xml:space="preserve">COOLING COIL SENSIBLE LOAD (W)</t>
  </si>
  <si>
    <t xml:space="preserve">VII</t>
  </si>
  <si>
    <t xml:space="preserve">COOLING COIL LATENT LOAD (W)</t>
  </si>
  <si>
    <t xml:space="preserve">AHU DESIGN SUMMARY</t>
  </si>
  <si>
    <t xml:space="preserve">VIII</t>
  </si>
  <si>
    <t xml:space="preserve">COOLING COIL TOTAL LOAD (W)</t>
  </si>
  <si>
    <t xml:space="preserve">COOLING COIL TOTAL LOAD (T.R.)</t>
  </si>
  <si>
    <t xml:space="preserve">COIL LOAD</t>
  </si>
  <si>
    <t xml:space="preserve">IX</t>
  </si>
  <si>
    <t xml:space="preserve">HEATING COIL WATTAGE (kW)</t>
  </si>
  <si>
    <t xml:space="preserve">AIR HANDLING CAPACITY</t>
  </si>
  <si>
    <t xml:space="preserve">X</t>
  </si>
  <si>
    <t xml:space="preserve">BLOWER AIR DELIVERY (CMH)</t>
  </si>
  <si>
    <t xml:space="preserve">(Both i/c of 10% safety factor)</t>
  </si>
  <si>
    <t xml:space="preserve">BLOWER STATIC (Pa)</t>
  </si>
  <si>
    <t xml:space="preserve">CFM/Tr</t>
  </si>
  <si>
    <t xml:space="preserve">BLOWER MOTOR I/P (kW)</t>
  </si>
  <si>
    <t xml:space="preserve">Sq.m/Tr</t>
  </si>
  <si>
    <t xml:space="preserve">ESIC Hospital, Thirippur, OT 1-3</t>
  </si>
  <si>
    <t xml:space="preserve">ESIC Hospital, Thirippur, ICU</t>
  </si>
  <si>
    <t xml:space="preserve">ESIC Hospital, Thirippur, Pediatric Unit</t>
  </si>
  <si>
    <t xml:space="preserve">ESIC Hospital, Thirippur, Labour Room</t>
  </si>
  <si>
    <t xml:space="preserve">DATA FOR CHENNAI/PUDUCHERRY</t>
  </si>
  <si>
    <t xml:space="preserve">SHGF FACTORS FOR GLASS</t>
  </si>
  <si>
    <t xml:space="preserve">DIRECTION</t>
  </si>
  <si>
    <t xml:space="preserve">SHGF FOR 12°N &amp; JUNE</t>
  </si>
  <si>
    <t xml:space="preserve">SHGC</t>
  </si>
  <si>
    <t xml:space="preserve">SHGF FOR 8°N &amp; NOV</t>
  </si>
  <si>
    <t xml:space="preserve">Btu/(hr.ft^2)</t>
  </si>
  <si>
    <t xml:space="preserve">W/m2</t>
  </si>
  <si>
    <t xml:space="preserve">N</t>
  </si>
  <si>
    <t xml:space="preserve">NE</t>
  </si>
  <si>
    <t xml:space="preserve">SE</t>
  </si>
  <si>
    <t xml:space="preserve">S</t>
  </si>
  <si>
    <t xml:space="preserve">SW</t>
  </si>
  <si>
    <t xml:space="preserve">W</t>
  </si>
  <si>
    <t xml:space="preserve">NW</t>
  </si>
  <si>
    <t xml:space="preserve">HORIZONTAL</t>
  </si>
  <si>
    <t xml:space="preserve">CLF FACTORS FOR GLASS</t>
  </si>
  <si>
    <t xml:space="preserve">SOLAR TIME</t>
  </si>
  <si>
    <t xml:space="preserve">CLTD FACTORS FOR ROOF</t>
  </si>
  <si>
    <t xml:space="preserve">CLTD FOR ROOF (4" CC with insulation)</t>
  </si>
  <si>
    <t xml:space="preserve">CORRECTION FOR 8°N &amp; JUNE</t>
  </si>
  <si>
    <t xml:space="preserve">COLOUR CORRECTION</t>
  </si>
  <si>
    <t xml:space="preserve">CLTD FOR ROOF</t>
  </si>
  <si>
    <t xml:space="preserve">CORRECTION FOR 8°N &amp; NOV</t>
  </si>
  <si>
    <r>
      <rPr>
        <b val="true"/>
        <sz val="10"/>
        <color rgb="FF000000"/>
        <rFont val="Comic Sans MS"/>
        <family val="4"/>
        <charset val="1"/>
      </rPr>
      <t xml:space="preserve">°</t>
    </r>
    <r>
      <rPr>
        <b val="true"/>
        <i val="true"/>
        <sz val="10"/>
        <color rgb="FF000000"/>
        <rFont val="Comic Sans MS"/>
        <family val="4"/>
        <charset val="1"/>
      </rPr>
      <t xml:space="preserve">F</t>
    </r>
  </si>
  <si>
    <t xml:space="preserve">°C</t>
  </si>
  <si>
    <t xml:space="preserve">CLTD FACTORS FOR WALL</t>
  </si>
  <si>
    <t xml:space="preserve">CLTD FOR WALL (8" BRICK)</t>
  </si>
  <si>
    <t xml:space="preserve">CLTD FOR WALL</t>
  </si>
  <si>
    <t xml:space="preserve">CLTD FACTORS FOR GLASS</t>
  </si>
  <si>
    <t xml:space="preserve">ALL (°F)</t>
  </si>
  <si>
    <t xml:space="preserve">ALL (°C)</t>
  </si>
  <si>
    <t xml:space="preserve">TYPICAL VALUES</t>
  </si>
  <si>
    <t xml:space="preserve">ACTIVITY LEVEL</t>
  </si>
  <si>
    <t xml:space="preserve">Degree of Activity</t>
  </si>
  <si>
    <t xml:space="preserve">Typical Application</t>
  </si>
  <si>
    <t xml:space="preserve">Average Metabolic Rate - male adult (W)</t>
  </si>
  <si>
    <t xml:space="preserve">Room Dry Bulb Temperature (oC)</t>
  </si>
  <si>
    <r>
      <rPr>
        <b val="true"/>
        <sz val="10"/>
        <color rgb="FF000000"/>
        <rFont val="Comic Sans MS"/>
        <family val="4"/>
        <charset val="1"/>
      </rPr>
      <t xml:space="preserve">Heat </t>
    </r>
    <r>
      <rPr>
        <b val="true"/>
        <i val="true"/>
        <sz val="10"/>
        <color rgb="FF000000"/>
        <rFont val="Comic Sans MS"/>
        <family val="4"/>
        <charset val="1"/>
      </rPr>
      <t xml:space="preserve">(W)</t>
    </r>
  </si>
  <si>
    <t xml:space="preserve">Sens.</t>
  </si>
  <si>
    <t xml:space="preserve">Lat.</t>
  </si>
  <si>
    <t xml:space="preserve">Seated at rest</t>
  </si>
  <si>
    <t xml:space="preserve">Cinema, theater, school</t>
  </si>
  <si>
    <t xml:space="preserve">Seated, very light work</t>
  </si>
  <si>
    <t xml:space="preserve">Computer working</t>
  </si>
  <si>
    <t xml:space="preserve">Office work</t>
  </si>
  <si>
    <t xml:space="preserve">Hotel reception, cashier</t>
  </si>
  <si>
    <t xml:space="preserve">Standing, walking slowly</t>
  </si>
  <si>
    <t xml:space="preserve">Laboratory work</t>
  </si>
  <si>
    <t xml:space="preserve">Walking, seated</t>
  </si>
  <si>
    <t xml:space="preserve">Moderate work</t>
  </si>
  <si>
    <t xml:space="preserve">Servant, hair dresser</t>
  </si>
  <si>
    <t xml:space="preserve">Light bench work</t>
  </si>
  <si>
    <t xml:space="preserve">Mechanical production</t>
  </si>
  <si>
    <t xml:space="preserve">Moderate Dancing</t>
  </si>
  <si>
    <t xml:space="preserve">Party</t>
  </si>
  <si>
    <t xml:space="preserve">Fast walking</t>
  </si>
  <si>
    <t xml:space="preserve">Mountain walking</t>
  </si>
  <si>
    <t xml:space="preserve">Heavy work</t>
  </si>
  <si>
    <t xml:space="preserve">Athletics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</si>
</sst>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"/>
    <numFmt numFmtId="166" formatCode="0.0"/>
    <numFmt numFmtId="167" formatCode="General"/>
    <numFmt numFmtId="168" formatCode="0"/>
    <numFmt numFmtId="169" formatCode="_(\$* #,##0.00_);_(\$* \(#,##0.00\);_(\$* \-??_);_(@_)"/>
    <numFmt numFmtId="170" formatCode="m/d/yy"/>
    <numFmt numFmtId="171" formatCode="_-\£* #,##0.0_-;&quot;-£&quot;* #,##0.0_-;_-\£* \-??_-;_-@_-"/>
    <numFmt numFmtId="172" formatCode="0.0000"/>
    <numFmt numFmtId="173" formatCode="0%"/>
    <numFmt numFmtId="174" formatCode="0.00"/>
    <numFmt numFmtId="175" formatCode="#,##0.0"/>
  </numFmts>
  <fonts count="4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mic Sans MS"/>
      <family val="4"/>
      <charset val="1"/>
    </font>
    <font>
      <sz val="11"/>
      <name val="Comic Sans MS"/>
      <family val="4"/>
      <charset val="1"/>
    </font>
    <font>
      <i val="true"/>
      <sz val="11"/>
      <name val="Comic Sans MS"/>
      <family val="4"/>
      <charset val="1"/>
    </font>
    <font>
      <b val="true"/>
      <sz val="11"/>
      <color rgb="FF000000"/>
      <name val="Comic Sans MS"/>
      <family val="4"/>
      <charset val="1"/>
    </font>
    <font>
      <b val="true"/>
      <sz val="11"/>
      <name val="Comic Sans MS"/>
      <family val="4"/>
      <charset val="1"/>
    </font>
    <font>
      <b val="true"/>
      <i val="true"/>
      <sz val="11"/>
      <name val="Comic Sans MS"/>
      <family val="4"/>
      <charset val="1"/>
    </font>
    <font>
      <i val="true"/>
      <sz val="11"/>
      <color rgb="FF000000"/>
      <name val="Comic Sans MS"/>
      <family val="4"/>
      <charset val="1"/>
    </font>
    <font>
      <b val="true"/>
      <sz val="11"/>
      <color rgb="FFCE181E"/>
      <name val="Comic Sans MS"/>
      <family val="4"/>
      <charset val="1"/>
    </font>
    <font>
      <sz val="11"/>
      <color rgb="FFCE181E"/>
      <name val="Comic Sans MS"/>
      <family val="4"/>
      <charset val="1"/>
    </font>
    <font>
      <b val="true"/>
      <sz val="11"/>
      <color rgb="FFC9211E"/>
      <name val="Comic Sans MS"/>
      <family val="4"/>
      <charset val="1"/>
    </font>
    <font>
      <b val="true"/>
      <i val="true"/>
      <sz val="11"/>
      <color rgb="FFC9211E"/>
      <name val="Comic Sans MS"/>
      <family val="4"/>
      <charset val="1"/>
    </font>
    <font>
      <b val="true"/>
      <sz val="11"/>
      <color rgb="FFC9211E"/>
      <name val="Calibri"/>
      <family val="2"/>
      <charset val="1"/>
    </font>
    <font>
      <sz val="11"/>
      <name val="Calibri"/>
      <family val="2"/>
      <charset val="1"/>
    </font>
    <font>
      <sz val="8"/>
      <name val="Comic Sans MS"/>
      <family val="4"/>
      <charset val="1"/>
    </font>
    <font>
      <sz val="8"/>
      <color rgb="FF000000"/>
      <name val="Comic Sans MS"/>
      <family val="4"/>
      <charset val="1"/>
    </font>
    <font>
      <b val="true"/>
      <sz val="8"/>
      <name val="Comic Sans MS"/>
      <family val="4"/>
      <charset val="1"/>
    </font>
    <font>
      <b val="true"/>
      <u val="single"/>
      <sz val="8"/>
      <name val="Comic Sans MS"/>
      <family val="4"/>
      <charset val="1"/>
    </font>
    <font>
      <i val="true"/>
      <sz val="8"/>
      <name val="Comic Sans MS"/>
      <family val="4"/>
      <charset val="1"/>
    </font>
    <font>
      <vertAlign val="superscript"/>
      <sz val="8"/>
      <name val="Comic Sans MS"/>
      <family val="4"/>
      <charset val="1"/>
    </font>
    <font>
      <sz val="8"/>
      <color rgb="FFCE181E"/>
      <name val="Comic Sans MS"/>
      <family val="4"/>
      <charset val="1"/>
    </font>
    <font>
      <b val="true"/>
      <i val="true"/>
      <sz val="8"/>
      <name val="Comic Sans MS"/>
      <family val="4"/>
      <charset val="1"/>
    </font>
    <font>
      <b val="true"/>
      <i val="true"/>
      <sz val="8"/>
      <color rgb="FF000000"/>
      <name val="Comic Sans MS"/>
      <family val="4"/>
      <charset val="1"/>
    </font>
    <font>
      <i val="true"/>
      <sz val="8"/>
      <color rgb="FFCE181E"/>
      <name val="Comic Sans MS"/>
      <family val="4"/>
      <charset val="1"/>
    </font>
    <font>
      <i val="true"/>
      <vertAlign val="subscript"/>
      <sz val="8"/>
      <color rgb="FFCE181E"/>
      <name val="Comic Sans MS"/>
      <family val="4"/>
      <charset val="1"/>
    </font>
    <font>
      <i val="true"/>
      <vertAlign val="superscript"/>
      <sz val="8"/>
      <color rgb="FFCE181E"/>
      <name val="Comic Sans MS"/>
      <family val="4"/>
      <charset val="1"/>
    </font>
    <font>
      <sz val="8"/>
      <color rgb="FFC9211E"/>
      <name val="Comic Sans MS"/>
      <family val="4"/>
      <charset val="1"/>
    </font>
    <font>
      <b val="true"/>
      <vertAlign val="superscript"/>
      <sz val="8"/>
      <name val="Comic Sans MS"/>
      <family val="4"/>
      <charset val="1"/>
    </font>
    <font>
      <vertAlign val="subscript"/>
      <sz val="8"/>
      <name val="Comic Sans MS"/>
      <family val="4"/>
      <charset val="1"/>
    </font>
    <font>
      <vertAlign val="subscript"/>
      <sz val="8"/>
      <color rgb="FFCE181E"/>
      <name val="Comic Sans MS"/>
      <family val="4"/>
      <charset val="1"/>
    </font>
    <font>
      <vertAlign val="superscript"/>
      <sz val="8"/>
      <color rgb="FFCE181E"/>
      <name val="Comic Sans MS"/>
      <family val="4"/>
      <charset val="1"/>
    </font>
    <font>
      <b val="true"/>
      <sz val="8"/>
      <color rgb="FFCE181E"/>
      <name val="Comic Sans MS"/>
      <family val="4"/>
      <charset val="1"/>
    </font>
    <font>
      <sz val="8"/>
      <color rgb="FF000000"/>
      <name val="Comfortaa"/>
      <family val="0"/>
      <charset val="1"/>
    </font>
    <font>
      <sz val="10"/>
      <color rgb="FF000000"/>
      <name val="Comic Sans MS"/>
      <family val="4"/>
      <charset val="1"/>
    </font>
    <font>
      <b val="true"/>
      <sz val="10"/>
      <color rgb="FF000000"/>
      <name val="Comic Sans MS"/>
      <family val="4"/>
      <charset val="1"/>
    </font>
    <font>
      <b val="true"/>
      <i val="true"/>
      <sz val="10"/>
      <color rgb="FF000000"/>
      <name val="Comic Sans MS"/>
      <family val="4"/>
      <charset val="1"/>
    </font>
    <font>
      <b val="true"/>
      <sz val="10"/>
      <color rgb="FFCE181E"/>
      <name val="Comic Sans MS"/>
      <family val="4"/>
      <charset val="1"/>
    </font>
    <font>
      <b val="true"/>
      <sz val="10"/>
      <name val="Comic Sans MS"/>
      <family val="4"/>
      <charset val="1"/>
    </font>
    <font>
      <b val="true"/>
      <i val="true"/>
      <sz val="10"/>
      <name val="Comic Sans MS"/>
      <family val="4"/>
      <charset val="1"/>
    </font>
    <font>
      <sz val="10"/>
      <color rgb="FFCE181E"/>
      <name val="Comic Sans MS"/>
      <family val="4"/>
      <charset val="1"/>
    </font>
    <font>
      <i val="true"/>
      <sz val="10"/>
      <color rgb="FFCE181E"/>
      <name val="Comic Sans MS"/>
      <family val="4"/>
      <charset val="1"/>
    </font>
    <font>
      <b val="true"/>
      <i val="true"/>
      <sz val="10"/>
      <color rgb="FFCE181E"/>
      <name val="Comic Sans MS"/>
      <family val="4"/>
      <charset val="1"/>
    </font>
    <font>
      <sz val="10"/>
      <name val="Comic Sans MS"/>
      <family val="4"/>
      <charset val="1"/>
    </font>
    <font>
      <u val="single"/>
      <sz val="11"/>
      <color rgb="FF0000FF"/>
      <name val="Calibri"/>
      <family val="2"/>
      <charset val="1"/>
    </font>
    <font>
      <u val="single"/>
      <sz val="10"/>
      <color rgb="FF0000FF"/>
      <name val="Comic Sans MS"/>
      <family val="4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DDDDDD"/>
        <bgColor rgb="FFCC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2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3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2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9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3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1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true" indent="0" shrinkToFit="true"/>
      <protection locked="true" hidden="false"/>
    </xf>
    <xf numFmtId="164" fontId="17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2" fontId="17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17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7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7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7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17" fillId="4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7" fillId="4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4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4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2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26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6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26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7" fillId="3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6" fontId="29" fillId="3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2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4" fontId="17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9" fillId="3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17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6" fontId="17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3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9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9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5" fontId="34" fillId="4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9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2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2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9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8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1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36" fillId="4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8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3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37" fillId="3" borderId="7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6" fillId="3" borderId="7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36" fillId="4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3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0" borderId="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7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7" fillId="3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engineeringtoolbox.com/dry-wet-bulb-dew-point-air-d_6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30" zoomScaleNormal="115" zoomScalePageLayoutView="130" workbookViewId="0">
      <selection pane="topLeft" activeCell="Q9" activeCellId="0" sqref="Q9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1" width="28.3"/>
    <col collapsed="false" customWidth="true" hidden="false" outlineLevel="0" max="5" min="3" style="1" width="5.21"/>
    <col collapsed="false" customWidth="true" hidden="false" outlineLevel="0" max="6" min="6" style="2" width="7.11"/>
    <col collapsed="false" customWidth="true" hidden="false" outlineLevel="0" max="7" min="7" style="3" width="9.13"/>
    <col collapsed="false" customWidth="true" hidden="false" outlineLevel="0" max="9" min="8" style="4" width="7.2"/>
    <col collapsed="false" customWidth="true" hidden="false" outlineLevel="0" max="10" min="10" style="4" width="8.33"/>
    <col collapsed="false" customWidth="true" hidden="false" outlineLevel="0" max="11" min="11" style="2" width="7.2"/>
    <col collapsed="false" customWidth="true" hidden="false" outlineLevel="0" max="12" min="12" style="4" width="7.2"/>
    <col collapsed="false" customWidth="true" hidden="false" outlineLevel="0" max="15" min="13" style="1" width="7.2"/>
    <col collapsed="false" customWidth="false" hidden="false" outlineLevel="0" max="954" min="16" style="1" width="11.57"/>
    <col collapsed="false" customWidth="true" hidden="false" outlineLevel="0" max="1016" min="955" style="1" width="9.13"/>
    <col collapsed="false" customWidth="true" hidden="false" outlineLevel="0" max="1017" min="1017" style="5" width="9.13"/>
  </cols>
  <sheetData>
    <row r="1" customFormat="false" ht="13.8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13.8" hidden="false" customHeight="true" outlineLevel="0" collapsed="false">
      <c r="A2" s="6"/>
      <c r="B2" s="6"/>
      <c r="C2" s="6"/>
      <c r="D2" s="6"/>
      <c r="E2" s="6"/>
      <c r="F2" s="6"/>
    </row>
    <row r="3" customFormat="false" ht="13.8" hidden="false" customHeight="true" outlineLevel="0" collapsed="false"/>
    <row r="4" s="7" customFormat="true" ht="126.85" hidden="false" customHeight="false" outlineLevel="0" collapsed="false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8" t="s">
        <v>6</v>
      </c>
      <c r="G4" s="9" t="s">
        <v>7</v>
      </c>
      <c r="H4" s="10" t="s">
        <v>8</v>
      </c>
      <c r="I4" s="10" t="s">
        <v>9</v>
      </c>
      <c r="J4" s="10" t="s">
        <v>10</v>
      </c>
      <c r="K4" s="8" t="s">
        <v>11</v>
      </c>
      <c r="L4" s="10" t="s">
        <v>12</v>
      </c>
      <c r="M4" s="7" t="s">
        <v>13</v>
      </c>
      <c r="N4" s="7" t="s">
        <v>14</v>
      </c>
      <c r="O4" s="10" t="s">
        <v>12</v>
      </c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5"/>
      <c r="AMD4" s="0"/>
      <c r="AME4" s="0"/>
      <c r="AMF4" s="0"/>
      <c r="AMG4" s="0"/>
      <c r="AMH4" s="0"/>
      <c r="AMI4" s="0"/>
      <c r="AMJ4" s="0"/>
    </row>
    <row r="5" s="11" customFormat="true" ht="17.15" hidden="false" customHeight="false" outlineLevel="0" collapsed="false">
      <c r="B5" s="12"/>
      <c r="C5" s="11" t="s">
        <v>15</v>
      </c>
      <c r="D5" s="11" t="s">
        <v>15</v>
      </c>
      <c r="E5" s="11" t="s">
        <v>15</v>
      </c>
      <c r="F5" s="13" t="s">
        <v>16</v>
      </c>
      <c r="G5" s="14"/>
      <c r="H5" s="13" t="s">
        <v>17</v>
      </c>
      <c r="I5" s="13" t="s">
        <v>18</v>
      </c>
      <c r="J5" s="13"/>
      <c r="K5" s="15" t="s">
        <v>19</v>
      </c>
      <c r="L5" s="13" t="s">
        <v>20</v>
      </c>
      <c r="N5" s="11" t="s">
        <v>19</v>
      </c>
      <c r="O5" s="13" t="s">
        <v>20</v>
      </c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5"/>
      <c r="AMD5" s="0"/>
      <c r="AME5" s="0"/>
      <c r="AMF5" s="0"/>
      <c r="AMG5" s="0"/>
      <c r="AMH5" s="0"/>
      <c r="AMI5" s="0"/>
      <c r="AMJ5" s="0"/>
    </row>
    <row r="7" s="16" customFormat="true" ht="13.8" hidden="false" customHeight="false" outlineLevel="0" collapsed="false">
      <c r="B7" s="17" t="s">
        <v>21</v>
      </c>
      <c r="F7" s="18"/>
      <c r="G7" s="19"/>
      <c r="H7" s="20"/>
      <c r="I7" s="20"/>
      <c r="J7" s="20"/>
      <c r="K7" s="18"/>
      <c r="L7" s="20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5"/>
      <c r="AMD7" s="0"/>
      <c r="AME7" s="0"/>
      <c r="AMF7" s="0"/>
      <c r="AMG7" s="0"/>
      <c r="AMH7" s="0"/>
      <c r="AMI7" s="0"/>
      <c r="AMJ7" s="0"/>
    </row>
    <row r="9" customFormat="false" ht="17.15" hidden="false" customHeight="false" outlineLevel="0" collapsed="false">
      <c r="A9" s="7" t="s">
        <v>22</v>
      </c>
      <c r="B9" s="21" t="s">
        <v>23</v>
      </c>
    </row>
    <row r="11" customFormat="false" ht="17.15" hidden="false" customHeight="false" outlineLevel="0" collapsed="false">
      <c r="B11" s="22" t="s">
        <v>24</v>
      </c>
      <c r="C11" s="23"/>
      <c r="D11" s="23"/>
      <c r="E11" s="23"/>
      <c r="F11" s="24"/>
      <c r="G11" s="25" t="n">
        <f aca="false">ROUND('OT1-Emergency'!J120, -2)</f>
        <v>6800</v>
      </c>
      <c r="H11" s="26" t="n">
        <f aca="false">'OT1-Emergency'!J119</f>
        <v>32.4150360370421</v>
      </c>
      <c r="I11" s="27" t="n">
        <f aca="false">ROUND(MAX('OT1-Emergency'!E120:F120)*3,0)</f>
        <v>8</v>
      </c>
      <c r="J11" s="27" t="n">
        <v>8</v>
      </c>
      <c r="K11" s="27" t="n">
        <v>1400</v>
      </c>
      <c r="L11" s="28" t="n">
        <f aca="false">ROUNDUP($G11*K11/3600/0.6*1.2/746,1)</f>
        <v>7.1</v>
      </c>
      <c r="M11" s="21" t="n">
        <f aca="false">G11*0.9</f>
        <v>6120</v>
      </c>
      <c r="N11" s="21" t="n">
        <v>500</v>
      </c>
      <c r="O11" s="28" t="n">
        <f aca="false">ROUNDUP($M11*N11/3600/0.6*1.2/746,1)</f>
        <v>2.3</v>
      </c>
    </row>
    <row r="12" customFormat="false" ht="13.8" hidden="false" customHeight="false" outlineLevel="0" collapsed="false">
      <c r="A12" s="24"/>
      <c r="B12" s="29"/>
      <c r="C12" s="30"/>
      <c r="D12" s="30"/>
      <c r="E12" s="30"/>
      <c r="F12" s="24"/>
    </row>
    <row r="13" customFormat="false" ht="17.15" hidden="false" customHeight="false" outlineLevel="0" collapsed="false">
      <c r="A13" s="7" t="s">
        <v>4</v>
      </c>
      <c r="B13" s="21" t="s">
        <v>25</v>
      </c>
    </row>
    <row r="15" customFormat="false" ht="17.15" hidden="false" customHeight="false" outlineLevel="0" collapsed="false">
      <c r="B15" s="22" t="s">
        <v>26</v>
      </c>
      <c r="C15" s="23"/>
      <c r="D15" s="23"/>
      <c r="E15" s="23"/>
      <c r="F15" s="24"/>
      <c r="G15" s="25" t="n">
        <f aca="false">ROUND('OT1-3'!$J$120, -2)</f>
        <v>8600</v>
      </c>
      <c r="H15" s="26" t="n">
        <f aca="false">'OT1-3'!$J$119</f>
        <v>38.5467173095664</v>
      </c>
      <c r="I15" s="27" t="n">
        <f aca="false">ROUND(MAX('OT1-3'!$E$120:$F$120)*3,0)</f>
        <v>7</v>
      </c>
      <c r="J15" s="27" t="n">
        <v>8</v>
      </c>
      <c r="K15" s="27" t="n">
        <v>1400</v>
      </c>
      <c r="L15" s="28" t="n">
        <f aca="false">ROUNDUP($G15*K15/3600/0.6*1.2/746,1)</f>
        <v>9</v>
      </c>
      <c r="M15" s="21" t="n">
        <f aca="false">G15*0.9</f>
        <v>7740</v>
      </c>
      <c r="N15" s="21" t="n">
        <v>500</v>
      </c>
      <c r="O15" s="28" t="n">
        <f aca="false">ROUNDUP($M15*N15/3600/0.6*1.2/746,1)</f>
        <v>2.9</v>
      </c>
    </row>
    <row r="16" customFormat="false" ht="16.6" hidden="false" customHeight="false" outlineLevel="0" collapsed="false">
      <c r="B16" s="22" t="s">
        <v>27</v>
      </c>
      <c r="C16" s="23"/>
      <c r="D16" s="23"/>
      <c r="E16" s="23"/>
      <c r="F16" s="24"/>
      <c r="G16" s="25" t="n">
        <f aca="false">ROUND('OT1-3'!$J$120, -2)</f>
        <v>8600</v>
      </c>
      <c r="H16" s="26" t="n">
        <f aca="false">'OT1-3'!$J$119</f>
        <v>38.5467173095664</v>
      </c>
      <c r="I16" s="27" t="n">
        <f aca="false">ROUND(MAX('OT1-3'!$E$120:$F$120)*3,0)</f>
        <v>7</v>
      </c>
      <c r="J16" s="27" t="n">
        <v>8</v>
      </c>
      <c r="K16" s="27" t="n">
        <v>1400</v>
      </c>
      <c r="L16" s="28" t="n">
        <f aca="false">ROUNDUP($G16*K16/3600/0.6*1.2/746,1)</f>
        <v>9</v>
      </c>
      <c r="M16" s="21" t="n">
        <f aca="false">G16*0.9</f>
        <v>7740</v>
      </c>
      <c r="N16" s="21" t="n">
        <v>500</v>
      </c>
      <c r="O16" s="28" t="n">
        <f aca="false">ROUNDUP($M16*N16/3600/0.6*1.2/746,1)</f>
        <v>2.9</v>
      </c>
    </row>
    <row r="17" customFormat="false" ht="16.6" hidden="false" customHeight="false" outlineLevel="0" collapsed="false">
      <c r="B17" s="22" t="s">
        <v>28</v>
      </c>
      <c r="C17" s="23"/>
      <c r="D17" s="23"/>
      <c r="E17" s="23"/>
      <c r="F17" s="24"/>
      <c r="G17" s="25" t="n">
        <f aca="false">ROUND('OT1-3'!$J$120, -2)</f>
        <v>8600</v>
      </c>
      <c r="H17" s="26" t="n">
        <f aca="false">'OT1-3'!$J$119</f>
        <v>38.5467173095664</v>
      </c>
      <c r="I17" s="27" t="n">
        <f aca="false">ROUND(MAX('OT1-3'!$E$120:$F$120)*3,0)</f>
        <v>7</v>
      </c>
      <c r="J17" s="27" t="n">
        <v>8</v>
      </c>
      <c r="K17" s="27" t="n">
        <v>1400</v>
      </c>
      <c r="L17" s="28" t="n">
        <f aca="false">ROUNDUP($G17*K17/3600/0.6*1.2/746,1)</f>
        <v>9</v>
      </c>
      <c r="M17" s="21" t="n">
        <f aca="false">G17*0.9</f>
        <v>7740</v>
      </c>
      <c r="N17" s="21" t="n">
        <v>500</v>
      </c>
      <c r="O17" s="28" t="n">
        <f aca="false">ROUNDUP($M17*N17/3600/0.6*1.2/746,1)</f>
        <v>2.9</v>
      </c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</row>
    <row r="19" s="31" customFormat="true" ht="16.6" hidden="false" customHeight="false" outlineLevel="0" collapsed="false">
      <c r="G19" s="32" t="s">
        <v>29</v>
      </c>
      <c r="H19" s="33"/>
      <c r="I19" s="34" t="n">
        <f aca="false">ROUND(SUM(I6:I18)*0.8*1.3,0)</f>
        <v>30</v>
      </c>
      <c r="J19" s="33" t="s">
        <v>18</v>
      </c>
      <c r="L19" s="33"/>
      <c r="AMC19" s="35"/>
      <c r="AMD19" s="36"/>
      <c r="AME19" s="36"/>
      <c r="AMF19" s="36"/>
      <c r="AMG19" s="36"/>
      <c r="AMH19" s="36"/>
      <c r="AMI19" s="36"/>
      <c r="AMJ19" s="36"/>
    </row>
    <row r="20" s="2" customFormat="true" ht="16.6" hidden="false" customHeight="false" outlineLevel="0" collapsed="false">
      <c r="G20" s="37" t="s">
        <v>30</v>
      </c>
      <c r="H20" s="38" t="n">
        <f aca="false">SUM(H11:H17)*0.7</f>
        <v>103.638631576019</v>
      </c>
      <c r="I20" s="4"/>
      <c r="J20" s="4"/>
      <c r="L20" s="4"/>
      <c r="AMC20" s="39"/>
      <c r="AMD20" s="40"/>
      <c r="AME20" s="40"/>
      <c r="AMF20" s="40"/>
      <c r="AMG20" s="40"/>
      <c r="AMH20" s="40"/>
      <c r="AMI20" s="40"/>
      <c r="AMJ20" s="40"/>
    </row>
    <row r="22" s="16" customFormat="true" ht="16.6" hidden="false" customHeight="false" outlineLevel="0" collapsed="false">
      <c r="B22" s="17" t="s">
        <v>31</v>
      </c>
      <c r="F22" s="18"/>
      <c r="G22" s="19"/>
      <c r="H22" s="20"/>
      <c r="I22" s="20"/>
      <c r="J22" s="20"/>
      <c r="K22" s="18"/>
      <c r="L22" s="20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5"/>
      <c r="AMD22" s="0"/>
      <c r="AME22" s="0"/>
      <c r="AMF22" s="0"/>
      <c r="AMG22" s="0"/>
      <c r="AMH22" s="0"/>
      <c r="AMI22" s="0"/>
      <c r="AMJ22" s="0"/>
    </row>
    <row r="24" customFormat="false" ht="17.15" hidden="false" customHeight="false" outlineLevel="0" collapsed="false">
      <c r="A24" s="7" t="s">
        <v>22</v>
      </c>
      <c r="B24" s="21" t="s">
        <v>25</v>
      </c>
    </row>
    <row r="26" customFormat="false" ht="16.6" hidden="false" customHeight="false" outlineLevel="0" collapsed="false">
      <c r="B26" s="22" t="s">
        <v>32</v>
      </c>
      <c r="C26" s="23"/>
      <c r="D26" s="23"/>
      <c r="E26" s="23"/>
      <c r="F26" s="24"/>
      <c r="G26" s="25" t="n">
        <f aca="false">ROUND(ICU!J120, -2)</f>
        <v>13200</v>
      </c>
      <c r="H26" s="26" t="n">
        <f aca="false">ICU!J119</f>
        <v>21.0726189026131</v>
      </c>
      <c r="I26" s="27"/>
      <c r="J26" s="27" t="n">
        <v>6</v>
      </c>
      <c r="K26" s="27" t="n">
        <v>1200</v>
      </c>
      <c r="L26" s="28" t="n">
        <f aca="false">ROUNDUP($G26*K26/3600/0.6*1.2/746,1)</f>
        <v>11.8</v>
      </c>
      <c r="M26" s="21"/>
      <c r="N26" s="21"/>
      <c r="O26" s="28"/>
    </row>
    <row r="27" customFormat="false" ht="16.6" hidden="false" customHeight="false" outlineLevel="0" collapsed="false">
      <c r="B27" s="22" t="s">
        <v>33</v>
      </c>
      <c r="C27" s="23"/>
      <c r="D27" s="23"/>
      <c r="E27" s="23"/>
      <c r="F27" s="24"/>
      <c r="G27" s="25" t="n">
        <f aca="false">ROUND(Pediatric!J120, -2)</f>
        <v>13600</v>
      </c>
      <c r="H27" s="26" t="n">
        <f aca="false">Pediatric!J119</f>
        <v>21.5056498834899</v>
      </c>
      <c r="I27" s="27"/>
      <c r="J27" s="27" t="n">
        <v>6</v>
      </c>
      <c r="K27" s="27" t="n">
        <v>1200</v>
      </c>
      <c r="L27" s="28" t="n">
        <f aca="false">ROUNDUP($G27*K27/3600/0.6*1.2/746,1)</f>
        <v>12.2</v>
      </c>
      <c r="M27" s="21"/>
      <c r="N27" s="21"/>
      <c r="O27" s="28"/>
    </row>
    <row r="28" customFormat="false" ht="16.6" hidden="false" customHeight="false" outlineLevel="0" collapsed="false">
      <c r="B28" s="22" t="s">
        <v>34</v>
      </c>
      <c r="C28" s="23"/>
      <c r="D28" s="23"/>
      <c r="E28" s="23"/>
      <c r="F28" s="24"/>
      <c r="G28" s="25" t="n">
        <f aca="false">ROUND('Labour room'!J120, -2)</f>
        <v>6800</v>
      </c>
      <c r="H28" s="26" t="n">
        <f aca="false">'Labour room'!J119</f>
        <v>10.6429217575654</v>
      </c>
      <c r="I28" s="27"/>
      <c r="J28" s="27" t="n">
        <v>6</v>
      </c>
      <c r="K28" s="27" t="n">
        <v>1200</v>
      </c>
      <c r="L28" s="28" t="n">
        <f aca="false">ROUNDUP($G28*K28/3600/0.6*1.2/746,1)</f>
        <v>6.1</v>
      </c>
      <c r="M28" s="21" t="n">
        <f aca="false">G28*0.2</f>
        <v>1360</v>
      </c>
      <c r="N28" s="21" t="n">
        <v>500</v>
      </c>
      <c r="O28" s="28" t="n">
        <f aca="false">ROUNDUP($M28*N28/3600/0.6*1.2/746,1)</f>
        <v>0.6</v>
      </c>
    </row>
    <row r="29" s="21" customFormat="true" ht="13.8" hidden="false" customHeight="false" outlineLevel="0" collapsed="false">
      <c r="A29" s="41"/>
      <c r="B29" s="22"/>
      <c r="C29" s="23"/>
      <c r="D29" s="23"/>
      <c r="E29" s="23"/>
      <c r="F29" s="41"/>
      <c r="G29" s="3"/>
      <c r="H29" s="4"/>
      <c r="I29" s="4"/>
      <c r="J29" s="42"/>
      <c r="K29" s="43"/>
      <c r="L29" s="42"/>
      <c r="O29" s="42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5"/>
      <c r="AMD29" s="0"/>
      <c r="AME29" s="0"/>
      <c r="AMF29" s="0"/>
      <c r="AMG29" s="0"/>
      <c r="AMH29" s="0"/>
      <c r="AMI29" s="0"/>
      <c r="AMJ29" s="0"/>
    </row>
    <row r="30" s="21" customFormat="true" ht="13.8" hidden="false" customHeight="false" outlineLevel="0" collapsed="false">
      <c r="A30" s="41"/>
      <c r="B30" s="22"/>
      <c r="C30" s="23"/>
      <c r="D30" s="23"/>
      <c r="E30" s="23"/>
      <c r="F30" s="41"/>
      <c r="G30" s="3"/>
      <c r="H30" s="4"/>
      <c r="I30" s="4"/>
      <c r="J30" s="42"/>
      <c r="K30" s="43"/>
      <c r="L30" s="42"/>
      <c r="O30" s="42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5"/>
      <c r="AMD30" s="0"/>
      <c r="AME30" s="0"/>
      <c r="AMF30" s="0"/>
      <c r="AMG30" s="0"/>
      <c r="AMH30" s="0"/>
      <c r="AMI30" s="0"/>
      <c r="AMJ30" s="0"/>
    </row>
    <row r="33" s="16" customFormat="true" ht="17.15" hidden="false" customHeight="false" outlineLevel="0" collapsed="false">
      <c r="B33" s="44" t="s">
        <v>35</v>
      </c>
      <c r="F33" s="18"/>
      <c r="G33" s="19"/>
      <c r="H33" s="20"/>
      <c r="I33" s="20"/>
      <c r="J33" s="20"/>
      <c r="K33" s="18"/>
      <c r="L33" s="20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5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G34" s="45"/>
      <c r="J34" s="1"/>
      <c r="K34" s="1"/>
    </row>
    <row r="35" customFormat="false" ht="48.2" hidden="false" customHeight="false" outlineLevel="0" collapsed="false">
      <c r="C35" s="7" t="s">
        <v>3</v>
      </c>
      <c r="D35" s="7" t="s">
        <v>4</v>
      </c>
      <c r="E35" s="7" t="s">
        <v>36</v>
      </c>
      <c r="F35" s="8" t="s">
        <v>37</v>
      </c>
      <c r="G35" s="46"/>
      <c r="H35" s="8"/>
      <c r="I35" s="8"/>
      <c r="J35" s="7" t="s">
        <v>38</v>
      </c>
      <c r="K35" s="7" t="s">
        <v>39</v>
      </c>
      <c r="L35" s="7" t="s">
        <v>40</v>
      </c>
    </row>
    <row r="36" customFormat="false" ht="16.6" hidden="false" customHeight="false" outlineLevel="0" collapsed="false">
      <c r="A36" s="7" t="s">
        <v>22</v>
      </c>
      <c r="B36" s="21" t="s">
        <v>23</v>
      </c>
      <c r="F36" s="1"/>
      <c r="G36" s="47"/>
      <c r="H36" s="1"/>
      <c r="I36" s="1"/>
      <c r="J36" s="1"/>
      <c r="K36" s="1"/>
      <c r="L36" s="1"/>
    </row>
    <row r="37" customFormat="false" ht="13.8" hidden="false" customHeight="false" outlineLevel="0" collapsed="false">
      <c r="G37" s="47"/>
      <c r="H37" s="43"/>
      <c r="I37" s="43"/>
      <c r="J37" s="1"/>
      <c r="K37" s="1"/>
      <c r="L37" s="1"/>
    </row>
    <row r="38" customFormat="false" ht="17.15" hidden="false" customHeight="false" outlineLevel="0" collapsed="false">
      <c r="A38" s="1" t="n">
        <v>1</v>
      </c>
      <c r="B38" s="1" t="s">
        <v>41</v>
      </c>
      <c r="C38" s="1" t="n">
        <v>7</v>
      </c>
      <c r="D38" s="1" t="n">
        <v>3.7</v>
      </c>
      <c r="E38" s="1" t="n">
        <v>15</v>
      </c>
      <c r="F38" s="2" t="n">
        <v>25</v>
      </c>
      <c r="G38" s="47"/>
      <c r="H38" s="43" t="n">
        <f aca="false">ROUNDUP(C38*D38/E38,1)</f>
        <v>1.8</v>
      </c>
      <c r="I38" s="43"/>
      <c r="J38" s="2" t="n">
        <v>2</v>
      </c>
      <c r="L38" s="1"/>
    </row>
    <row r="39" customFormat="false" ht="17.15" hidden="false" customHeight="false" outlineLevel="0" collapsed="false">
      <c r="A39" s="1" t="n">
        <v>2</v>
      </c>
      <c r="B39" s="1" t="s">
        <v>42</v>
      </c>
      <c r="C39" s="1" t="n">
        <v>6.25</v>
      </c>
      <c r="D39" s="1" t="n">
        <v>5.1</v>
      </c>
      <c r="E39" s="1" t="n">
        <v>5</v>
      </c>
      <c r="F39" s="2" t="n">
        <v>25</v>
      </c>
      <c r="G39" s="47"/>
      <c r="H39" s="43" t="n">
        <f aca="false">ROUNDUP(C39*D39/E39,1)</f>
        <v>6.4</v>
      </c>
      <c r="I39" s="43"/>
      <c r="J39" s="2"/>
      <c r="K39" s="2" t="n">
        <v>4</v>
      </c>
      <c r="L39" s="1"/>
    </row>
    <row r="40" customFormat="false" ht="17.15" hidden="false" customHeight="false" outlineLevel="0" collapsed="false">
      <c r="A40" s="1" t="n">
        <v>3</v>
      </c>
      <c r="B40" s="1" t="s">
        <v>43</v>
      </c>
      <c r="C40" s="1" t="n">
        <v>6.25</v>
      </c>
      <c r="D40" s="1" t="n">
        <v>5.1</v>
      </c>
      <c r="E40" s="1" t="n">
        <v>5</v>
      </c>
      <c r="F40" s="2" t="n">
        <v>25</v>
      </c>
      <c r="G40" s="47"/>
      <c r="H40" s="43" t="n">
        <f aca="false">ROUNDUP(C40*D40/E40,1)</f>
        <v>6.4</v>
      </c>
      <c r="I40" s="43"/>
      <c r="J40" s="2"/>
      <c r="K40" s="2" t="n">
        <v>4</v>
      </c>
      <c r="L40" s="1"/>
    </row>
    <row r="41" customFormat="false" ht="17.15" hidden="false" customHeight="false" outlineLevel="0" collapsed="false">
      <c r="A41" s="1" t="n">
        <v>4</v>
      </c>
      <c r="B41" s="1" t="s">
        <v>44</v>
      </c>
      <c r="C41" s="1" t="n">
        <v>6</v>
      </c>
      <c r="D41" s="1" t="n">
        <v>4</v>
      </c>
      <c r="E41" s="1" t="n">
        <v>12</v>
      </c>
      <c r="F41" s="2" t="n">
        <v>25</v>
      </c>
      <c r="G41" s="47"/>
      <c r="H41" s="43" t="n">
        <f aca="false">ROUNDUP(C41*D41/E41,1)</f>
        <v>2</v>
      </c>
      <c r="I41" s="43"/>
      <c r="J41" s="1"/>
      <c r="K41" s="1" t="n">
        <v>1</v>
      </c>
      <c r="L41" s="2"/>
    </row>
    <row r="42" customFormat="false" ht="17.15" hidden="false" customHeight="false" outlineLevel="0" collapsed="false">
      <c r="A42" s="1" t="n">
        <v>5</v>
      </c>
      <c r="B42" s="1" t="s">
        <v>45</v>
      </c>
      <c r="C42" s="1" t="n">
        <v>4.3</v>
      </c>
      <c r="D42" s="1" t="n">
        <v>3.4</v>
      </c>
      <c r="E42" s="1" t="n">
        <v>12</v>
      </c>
      <c r="F42" s="2" t="n">
        <v>25</v>
      </c>
      <c r="G42" s="47"/>
      <c r="H42" s="27" t="n">
        <f aca="false">ROUNDUP(C42*D42/E42,1)</f>
        <v>1.3</v>
      </c>
      <c r="I42" s="27"/>
      <c r="J42" s="1"/>
      <c r="K42" s="1" t="n">
        <v>1</v>
      </c>
      <c r="L42" s="2"/>
    </row>
    <row r="43" customFormat="false" ht="13.8" hidden="false" customHeight="false" outlineLevel="0" collapsed="false">
      <c r="A43" s="24"/>
      <c r="B43" s="24"/>
      <c r="C43" s="24"/>
      <c r="D43" s="24"/>
      <c r="E43" s="2"/>
      <c r="F43" s="24"/>
      <c r="H43" s="43"/>
      <c r="I43" s="43"/>
      <c r="J43" s="2"/>
      <c r="L43" s="2"/>
    </row>
    <row r="44" customFormat="false" ht="16.6" hidden="false" customHeight="false" outlineLevel="0" collapsed="false">
      <c r="A44" s="7" t="s">
        <v>46</v>
      </c>
      <c r="B44" s="21" t="s">
        <v>47</v>
      </c>
      <c r="G44" s="47"/>
      <c r="H44" s="43"/>
      <c r="I44" s="43"/>
      <c r="J44" s="1"/>
      <c r="K44" s="1"/>
      <c r="L44" s="2"/>
    </row>
    <row r="45" customFormat="false" ht="13.8" hidden="false" customHeight="false" outlineLevel="0" collapsed="false">
      <c r="G45" s="47"/>
      <c r="H45" s="43"/>
      <c r="I45" s="43"/>
      <c r="J45" s="1"/>
      <c r="K45" s="1"/>
      <c r="L45" s="2"/>
    </row>
    <row r="46" customFormat="false" ht="17.15" hidden="false" customHeight="false" outlineLevel="0" collapsed="false">
      <c r="B46" s="1" t="s">
        <v>48</v>
      </c>
      <c r="C46" s="1" t="n">
        <v>7</v>
      </c>
      <c r="D46" s="1" t="n">
        <v>5.3</v>
      </c>
      <c r="E46" s="1" t="n">
        <v>12</v>
      </c>
      <c r="F46" s="2" t="n">
        <v>25</v>
      </c>
      <c r="G46" s="47"/>
      <c r="H46" s="43" t="n">
        <f aca="false">ROUNDUP(C46*D46/E46,1)</f>
        <v>3.1</v>
      </c>
      <c r="I46" s="43"/>
      <c r="J46" s="2"/>
      <c r="K46" s="2" t="n">
        <v>2</v>
      </c>
      <c r="L46" s="1"/>
    </row>
    <row r="47" customFormat="false" ht="17.15" hidden="false" customHeight="false" outlineLevel="0" collapsed="false">
      <c r="B47" s="1" t="s">
        <v>49</v>
      </c>
      <c r="C47" s="1" t="n">
        <v>7</v>
      </c>
      <c r="D47" s="1" t="n">
        <v>3.5</v>
      </c>
      <c r="E47" s="1" t="n">
        <v>12</v>
      </c>
      <c r="F47" s="2" t="n">
        <v>25</v>
      </c>
      <c r="G47" s="47"/>
      <c r="H47" s="43" t="n">
        <f aca="false">ROUNDUP(C47*D47/E47,1)</f>
        <v>2.1</v>
      </c>
      <c r="I47" s="43"/>
      <c r="J47" s="2" t="n">
        <v>2</v>
      </c>
      <c r="L47" s="1"/>
    </row>
    <row r="48" customFormat="false" ht="17.15" hidden="false" customHeight="false" outlineLevel="0" collapsed="false">
      <c r="B48" s="1" t="s">
        <v>50</v>
      </c>
      <c r="C48" s="1" t="n">
        <v>4</v>
      </c>
      <c r="D48" s="1" t="n">
        <v>3</v>
      </c>
      <c r="E48" s="1" t="n">
        <v>8</v>
      </c>
      <c r="F48" s="2" t="n">
        <v>24</v>
      </c>
      <c r="G48" s="47"/>
      <c r="H48" s="43" t="n">
        <f aca="false">ROUNDUP(C48*D48/E48,1)</f>
        <v>1.5</v>
      </c>
      <c r="I48" s="43"/>
      <c r="J48" s="2" t="n">
        <v>1</v>
      </c>
      <c r="L48" s="1"/>
    </row>
    <row r="49" customFormat="false" ht="17.15" hidden="false" customHeight="false" outlineLevel="0" collapsed="false">
      <c r="B49" s="1" t="s">
        <v>51</v>
      </c>
      <c r="C49" s="1" t="n">
        <v>5.6</v>
      </c>
      <c r="D49" s="1" t="n">
        <v>2.9</v>
      </c>
      <c r="E49" s="1" t="n">
        <v>8</v>
      </c>
      <c r="F49" s="2" t="n">
        <v>24</v>
      </c>
      <c r="G49" s="47"/>
      <c r="H49" s="43" t="n">
        <f aca="false">ROUNDUP(C49*D49/E49,1)</f>
        <v>2.1</v>
      </c>
      <c r="I49" s="43"/>
      <c r="J49" s="2"/>
      <c r="L49" s="1" t="n">
        <v>1</v>
      </c>
    </row>
    <row r="50" customFormat="false" ht="17.15" hidden="false" customHeight="false" outlineLevel="0" collapsed="false">
      <c r="B50" s="1" t="s">
        <v>52</v>
      </c>
      <c r="C50" s="1" t="n">
        <v>5.6</v>
      </c>
      <c r="D50" s="1" t="n">
        <v>3.2</v>
      </c>
      <c r="E50" s="1" t="n">
        <v>8</v>
      </c>
      <c r="F50" s="2" t="n">
        <v>24</v>
      </c>
      <c r="G50" s="47"/>
      <c r="H50" s="43" t="n">
        <f aca="false">ROUNDUP(C50*D50/E50,1)</f>
        <v>2.3</v>
      </c>
      <c r="I50" s="43"/>
      <c r="J50" s="1"/>
      <c r="K50" s="1"/>
      <c r="L50" s="2" t="n">
        <v>1</v>
      </c>
    </row>
    <row r="51" customFormat="false" ht="17.15" hidden="false" customHeight="false" outlineLevel="0" collapsed="false">
      <c r="B51" s="1" t="s">
        <v>53</v>
      </c>
      <c r="C51" s="1" t="n">
        <v>5.6</v>
      </c>
      <c r="D51" s="1" t="n">
        <v>3.7</v>
      </c>
      <c r="E51" s="1" t="n">
        <v>8</v>
      </c>
      <c r="F51" s="2" t="n">
        <v>24</v>
      </c>
      <c r="G51" s="47"/>
      <c r="H51" s="43" t="n">
        <f aca="false">ROUNDUP(C51*D51/E51,1)</f>
        <v>2.6</v>
      </c>
      <c r="I51" s="43"/>
      <c r="J51" s="1"/>
      <c r="K51" s="1"/>
      <c r="L51" s="2" t="n">
        <v>1</v>
      </c>
    </row>
    <row r="52" customFormat="false" ht="17.15" hidden="false" customHeight="false" outlineLevel="0" collapsed="false">
      <c r="B52" s="1" t="s">
        <v>54</v>
      </c>
      <c r="C52" s="1" t="n">
        <v>5.6</v>
      </c>
      <c r="D52" s="1" t="n">
        <v>3.7</v>
      </c>
      <c r="E52" s="1" t="n">
        <v>8</v>
      </c>
      <c r="F52" s="2" t="n">
        <v>24</v>
      </c>
      <c r="G52" s="47"/>
      <c r="H52" s="43" t="n">
        <f aca="false">ROUNDUP(C52*D52/E52,1)</f>
        <v>2.6</v>
      </c>
      <c r="I52" s="43"/>
      <c r="J52" s="1"/>
      <c r="K52" s="1"/>
      <c r="L52" s="2" t="n">
        <v>1</v>
      </c>
    </row>
    <row r="53" customFormat="false" ht="17.15" hidden="false" customHeight="false" outlineLevel="0" collapsed="false">
      <c r="B53" s="1" t="s">
        <v>55</v>
      </c>
      <c r="C53" s="1" t="n">
        <v>5.6</v>
      </c>
      <c r="D53" s="1" t="n">
        <v>3.7</v>
      </c>
      <c r="E53" s="1" t="n">
        <v>8</v>
      </c>
      <c r="F53" s="2" t="n">
        <v>24</v>
      </c>
      <c r="G53" s="47"/>
      <c r="H53" s="27" t="n">
        <f aca="false">ROUNDUP(C53*D53/E53,1)</f>
        <v>2.6</v>
      </c>
      <c r="I53" s="27"/>
      <c r="J53" s="1"/>
      <c r="K53" s="1"/>
      <c r="L53" s="2" t="n">
        <v>1</v>
      </c>
    </row>
    <row r="54" customFormat="false" ht="13.8" hidden="false" customHeight="false" outlineLevel="0" collapsed="false">
      <c r="G54" s="47"/>
      <c r="H54" s="43"/>
      <c r="I54" s="43"/>
      <c r="J54" s="1"/>
      <c r="K54" s="4"/>
      <c r="L54" s="2"/>
    </row>
    <row r="55" customFormat="false" ht="17.15" hidden="false" customHeight="false" outlineLevel="0" collapsed="false">
      <c r="G55" s="47"/>
      <c r="H55" s="42"/>
      <c r="I55" s="42"/>
      <c r="J55" s="48" t="n">
        <f aca="false">SUM(J37:J54)</f>
        <v>5</v>
      </c>
      <c r="K55" s="48" t="n">
        <f aca="false">SUM(K37:K54)</f>
        <v>12</v>
      </c>
      <c r="L55" s="48" t="n">
        <f aca="false">SUM(L37:L54)</f>
        <v>5</v>
      </c>
      <c r="M55" s="49"/>
      <c r="N55" s="49"/>
      <c r="O55" s="49"/>
    </row>
    <row r="56" customFormat="false" ht="13.8" hidden="false" customHeight="false" outlineLevel="0" collapsed="false">
      <c r="G56" s="47"/>
      <c r="H56" s="43"/>
      <c r="I56" s="43"/>
      <c r="K56" s="4"/>
    </row>
    <row r="57" customFormat="false" ht="17.15" hidden="false" customHeight="false" outlineLevel="0" collapsed="false">
      <c r="B57" s="21" t="s">
        <v>56</v>
      </c>
      <c r="H57" s="50" t="n">
        <f aca="false">SUM(H20:H56)</f>
        <v>193.659822119687</v>
      </c>
    </row>
    <row r="58" customFormat="false" ht="17.15" hidden="false" customHeight="false" outlineLevel="0" collapsed="false">
      <c r="B58" s="21" t="s">
        <v>57</v>
      </c>
      <c r="H58" s="51" t="n">
        <f aca="false">H57*0.8</f>
        <v>154.92785769575</v>
      </c>
    </row>
    <row r="59" customFormat="false" ht="32.8" hidden="false" customHeight="false" outlineLevel="0" collapsed="false">
      <c r="B59" s="21" t="s">
        <v>58</v>
      </c>
      <c r="H59" s="51" t="n">
        <f aca="false">H58*1.3</f>
        <v>201.406215004474</v>
      </c>
    </row>
    <row r="60" customFormat="false" ht="13.8" hidden="false" customHeight="false" outlineLevel="0" collapsed="false">
      <c r="B60" s="21"/>
    </row>
    <row r="61" s="31" customFormat="true" ht="16.6" hidden="false" customHeight="false" outlineLevel="0" collapsed="false">
      <c r="G61" s="32" t="s">
        <v>59</v>
      </c>
      <c r="H61" s="52" t="s">
        <v>60</v>
      </c>
      <c r="I61" s="53" t="s">
        <v>17</v>
      </c>
      <c r="J61" s="54" t="s">
        <v>61</v>
      </c>
      <c r="L61" s="33"/>
      <c r="AMC61" s="35"/>
      <c r="AMD61" s="36"/>
      <c r="AME61" s="36"/>
      <c r="AMF61" s="36"/>
      <c r="AMG61" s="36"/>
      <c r="AMH61" s="36"/>
      <c r="AMI61" s="36"/>
      <c r="AMJ61" s="36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O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21" man="true" max="16383" min="0"/>
    <brk id="43" man="true" max="16383" min="0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pageBreakPreview" topLeftCell="A103" colorId="64" zoomScale="130" zoomScaleNormal="115" zoomScalePageLayoutView="130" workbookViewId="0">
      <selection pane="topLeft" activeCell="N113" activeCellId="0" sqref="N113"/>
    </sheetView>
  </sheetViews>
  <sheetFormatPr defaultColWidth="9.13671875" defaultRowHeight="12.8" zeroHeight="false" outlineLevelRow="0" outlineLevelCol="0"/>
  <cols>
    <col collapsed="false" customWidth="true" hidden="false" outlineLevel="0" max="1" min="1" style="69" width="11.64"/>
    <col collapsed="false" customWidth="true" hidden="false" outlineLevel="0" max="2" min="2" style="69" width="15.8"/>
    <col collapsed="false" customWidth="true" hidden="false" outlineLevel="0" max="3" min="3" style="69" width="9.83"/>
    <col collapsed="false" customWidth="true" hidden="false" outlineLevel="0" max="4" min="4" style="69" width="9.24"/>
    <col collapsed="false" customWidth="true" hidden="false" outlineLevel="0" max="5" min="5" style="70" width="9.51"/>
    <col collapsed="false" customWidth="true" hidden="false" outlineLevel="0" max="6" min="6" style="70" width="8.14"/>
    <col collapsed="false" customWidth="true" hidden="false" outlineLevel="0" max="7" min="7" style="70" width="8.79"/>
    <col collapsed="false" customWidth="true" hidden="false" outlineLevel="0" max="8" min="8" style="70" width="13.55"/>
    <col collapsed="false" customWidth="true" hidden="false" outlineLevel="0" max="9" min="9" style="70" width="8.55"/>
    <col collapsed="false" customWidth="true" hidden="false" outlineLevel="0" max="10" min="10" style="70" width="10.25"/>
    <col collapsed="false" customWidth="false" hidden="false" outlineLevel="0" max="12" min="11" style="70" width="9.13"/>
    <col collapsed="false" customWidth="true" hidden="false" outlineLevel="0" max="13" min="13" style="70" width="11.94"/>
    <col collapsed="false" customWidth="false" hidden="false" outlineLevel="0" max="1023" min="14" style="70" width="9.13"/>
    <col collapsed="false" customWidth="false" hidden="false" outlineLevel="0" max="1024" min="1024" style="71" width="9.13"/>
  </cols>
  <sheetData>
    <row r="1" customFormat="false" ht="12.8" hidden="false" customHeight="false" outlineLevel="0" collapsed="false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3.05" hidden="false" customHeight="true" outlineLevel="0" collapsed="false">
      <c r="A2" s="74" t="s">
        <v>86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customFormat="false" ht="12.8" hidden="false" customHeight="false" outlineLevel="0" collapsed="false">
      <c r="A3" s="72"/>
      <c r="B3" s="72"/>
      <c r="C3" s="72"/>
      <c r="D3" s="72"/>
      <c r="E3" s="72"/>
      <c r="F3" s="72"/>
      <c r="G3" s="76"/>
      <c r="H3" s="72"/>
      <c r="I3" s="72"/>
      <c r="J3" s="72"/>
      <c r="K3" s="72"/>
    </row>
    <row r="4" customFormat="false" ht="13.05" hidden="false" customHeight="false" outlineLevel="0" collapsed="false">
      <c r="A4" s="77" t="s">
        <v>87</v>
      </c>
      <c r="B4" s="77"/>
      <c r="C4" s="77"/>
      <c r="D4" s="77"/>
      <c r="E4" s="77"/>
      <c r="F4" s="77"/>
      <c r="G4" s="77"/>
      <c r="H4" s="78" t="s">
        <v>88</v>
      </c>
      <c r="I4" s="79"/>
      <c r="J4" s="80" t="s">
        <v>89</v>
      </c>
      <c r="K4" s="81"/>
    </row>
    <row r="5" customFormat="false" ht="12.8" hidden="false" customHeight="true" outlineLevel="0" collapsed="false">
      <c r="A5" s="82" t="s">
        <v>90</v>
      </c>
      <c r="B5" s="83" t="s">
        <v>247</v>
      </c>
      <c r="C5" s="83"/>
      <c r="D5" s="83"/>
      <c r="E5" s="83"/>
      <c r="F5" s="83"/>
      <c r="G5" s="83"/>
      <c r="H5" s="84" t="s">
        <v>92</v>
      </c>
      <c r="I5" s="79"/>
      <c r="J5" s="80" t="s">
        <v>89</v>
      </c>
      <c r="K5" s="85"/>
      <c r="L5" s="86"/>
    </row>
    <row r="6" customFormat="false" ht="13.05" hidden="false" customHeight="false" outlineLevel="0" collapsed="false">
      <c r="A6" s="80" t="s">
        <v>93</v>
      </c>
      <c r="B6" s="87" t="n">
        <v>1</v>
      </c>
      <c r="C6" s="79" t="s">
        <v>94</v>
      </c>
      <c r="D6" s="87" t="n">
        <v>1</v>
      </c>
      <c r="E6" s="80"/>
      <c r="F6" s="80"/>
      <c r="G6" s="80"/>
      <c r="H6" s="84" t="s">
        <v>95</v>
      </c>
      <c r="I6" s="79"/>
      <c r="J6" s="80" t="s">
        <v>89</v>
      </c>
      <c r="K6" s="81"/>
      <c r="L6" s="72"/>
    </row>
    <row r="7" customFormat="false" ht="13.05" hidden="false" customHeight="true" outlineLevel="0" collapsed="false">
      <c r="A7" s="88" t="s">
        <v>96</v>
      </c>
      <c r="B7" s="88"/>
      <c r="C7" s="88"/>
      <c r="D7" s="88"/>
      <c r="E7" s="88"/>
      <c r="F7" s="72"/>
      <c r="G7" s="72"/>
      <c r="H7" s="72"/>
      <c r="I7" s="89"/>
      <c r="J7" s="72"/>
      <c r="K7" s="90"/>
      <c r="L7" s="72"/>
    </row>
    <row r="8" customFormat="false" ht="13.05" hidden="false" customHeight="true" outlineLevel="0" collapsed="false">
      <c r="A8" s="91" t="s">
        <v>97</v>
      </c>
      <c r="B8" s="91"/>
      <c r="C8" s="80"/>
      <c r="D8" s="92" t="s">
        <v>98</v>
      </c>
      <c r="E8" s="92" t="s">
        <v>99</v>
      </c>
      <c r="F8" s="92" t="s">
        <v>100</v>
      </c>
      <c r="G8" s="72"/>
      <c r="H8" s="93" t="s">
        <v>101</v>
      </c>
      <c r="I8" s="89"/>
      <c r="J8" s="72"/>
      <c r="K8" s="90"/>
      <c r="L8" s="72"/>
    </row>
    <row r="9" customFormat="false" ht="12.8" hidden="false" customHeight="true" outlineLevel="0" collapsed="false">
      <c r="A9" s="82" t="s">
        <v>102</v>
      </c>
      <c r="B9" s="82"/>
      <c r="C9" s="80"/>
      <c r="D9" s="94" t="n">
        <v>37.2</v>
      </c>
      <c r="E9" s="87" t="n">
        <v>24</v>
      </c>
      <c r="F9" s="80"/>
      <c r="G9" s="72"/>
      <c r="H9" s="95" t="s">
        <v>103</v>
      </c>
      <c r="I9" s="89"/>
      <c r="J9" s="72"/>
      <c r="K9" s="90"/>
      <c r="L9" s="72"/>
    </row>
    <row r="10" customFormat="false" ht="12.8" hidden="false" customHeight="true" outlineLevel="0" collapsed="false">
      <c r="A10" s="82" t="s">
        <v>104</v>
      </c>
      <c r="B10" s="82"/>
      <c r="C10" s="80"/>
      <c r="D10" s="94" t="n">
        <v>41</v>
      </c>
      <c r="E10" s="87" t="n">
        <v>48</v>
      </c>
      <c r="F10" s="80"/>
      <c r="G10" s="72"/>
      <c r="H10" s="96"/>
      <c r="I10" s="89"/>
      <c r="J10" s="72"/>
      <c r="K10" s="90"/>
      <c r="L10" s="72"/>
    </row>
    <row r="11" customFormat="false" ht="13.05" hidden="false" customHeight="true" outlineLevel="0" collapsed="false">
      <c r="A11" s="82" t="s">
        <v>105</v>
      </c>
      <c r="B11" s="82"/>
      <c r="C11" s="80"/>
      <c r="D11" s="97" t="n">
        <f aca="false">0.62198/(101325/(EXP(77.345+0.0057*(273+D9)- 7235/(273+D9))/(273+D9)^8.2)-1)*D10/100</f>
        <v>0.016834758778653</v>
      </c>
      <c r="E11" s="97" t="n">
        <f aca="false">0.62198/(101325/(EXP(77.345+0.0057*(273+E9)- 7235/(273+E9))/(273+E9)^8.2)-1)*E10/100</f>
        <v>0.00894780176585656</v>
      </c>
      <c r="F11" s="80"/>
      <c r="G11" s="72"/>
      <c r="H11" s="72"/>
      <c r="I11" s="89"/>
      <c r="J11" s="72"/>
      <c r="K11" s="90"/>
      <c r="L11" s="72"/>
    </row>
    <row r="12" customFormat="false" ht="13.05" hidden="false" customHeight="true" outlineLevel="0" collapsed="false">
      <c r="A12" s="82" t="s">
        <v>106</v>
      </c>
      <c r="B12" s="82"/>
      <c r="C12" s="80"/>
      <c r="D12" s="79"/>
      <c r="E12" s="79"/>
      <c r="F12" s="87" t="n">
        <v>10.5</v>
      </c>
      <c r="G12" s="72"/>
      <c r="H12" s="72"/>
      <c r="I12" s="89"/>
      <c r="J12" s="72"/>
      <c r="K12" s="90"/>
      <c r="L12" s="72"/>
    </row>
    <row r="13" customFormat="false" ht="12.8" hidden="false" customHeight="false" outlineLevel="0" collapsed="false">
      <c r="A13" s="82"/>
      <c r="B13" s="82"/>
      <c r="C13" s="80"/>
      <c r="D13" s="79"/>
      <c r="E13" s="79"/>
      <c r="F13" s="79"/>
      <c r="G13" s="72"/>
      <c r="H13" s="72"/>
      <c r="I13" s="89"/>
      <c r="J13" s="72"/>
      <c r="K13" s="90"/>
      <c r="L13" s="72"/>
    </row>
    <row r="14" customFormat="false" ht="13.05" hidden="false" customHeight="true" outlineLevel="0" collapsed="false">
      <c r="A14" s="91" t="s">
        <v>107</v>
      </c>
      <c r="B14" s="91"/>
      <c r="C14" s="80"/>
      <c r="D14" s="98"/>
      <c r="E14" s="98"/>
      <c r="F14" s="80"/>
      <c r="G14" s="72"/>
      <c r="H14" s="72"/>
      <c r="I14" s="89"/>
      <c r="J14" s="72"/>
      <c r="K14" s="90"/>
      <c r="L14" s="72"/>
    </row>
    <row r="15" customFormat="false" ht="12.8" hidden="false" customHeight="true" outlineLevel="0" collapsed="false">
      <c r="A15" s="82" t="s">
        <v>102</v>
      </c>
      <c r="B15" s="82"/>
      <c r="C15" s="80"/>
      <c r="D15" s="94" t="n">
        <v>32.3</v>
      </c>
      <c r="E15" s="87" t="n">
        <v>24</v>
      </c>
      <c r="F15" s="80"/>
      <c r="G15" s="72"/>
      <c r="H15" s="72"/>
      <c r="I15" s="89"/>
      <c r="J15" s="72"/>
      <c r="K15" s="90"/>
      <c r="L15" s="72"/>
    </row>
    <row r="16" customFormat="false" ht="12.8" hidden="false" customHeight="true" outlineLevel="0" collapsed="false">
      <c r="A16" s="82" t="s">
        <v>104</v>
      </c>
      <c r="B16" s="82"/>
      <c r="C16" s="80"/>
      <c r="D16" s="94" t="n">
        <v>72</v>
      </c>
      <c r="E16" s="87" t="n">
        <v>51</v>
      </c>
      <c r="F16" s="80"/>
      <c r="G16" s="72"/>
      <c r="H16" s="72"/>
      <c r="I16" s="89"/>
      <c r="J16" s="72"/>
      <c r="K16" s="90"/>
      <c r="L16" s="72"/>
    </row>
    <row r="17" customFormat="false" ht="13.05" hidden="false" customHeight="true" outlineLevel="0" collapsed="false">
      <c r="A17" s="82" t="s">
        <v>105</v>
      </c>
      <c r="B17" s="82"/>
      <c r="C17" s="80"/>
      <c r="D17" s="97" t="n">
        <f aca="false">0.62198/(101325/(EXP(77.345+0.0057*(273+D15)- 7235/(273+D15))/(273+D15)^8.2)-1)*D16/100</f>
        <v>0.0221812811253068</v>
      </c>
      <c r="E17" s="97" t="n">
        <f aca="false">0.62198/(101325/(EXP(77.345+0.0057*(273+E15)- 7235/(273+E15))/(273+E15)^8.2)-1)*E16/100</f>
        <v>0.0095070393762226</v>
      </c>
      <c r="F17" s="80"/>
      <c r="G17" s="72"/>
      <c r="H17" s="72"/>
      <c r="I17" s="89"/>
      <c r="J17" s="72"/>
      <c r="K17" s="90"/>
      <c r="L17" s="72"/>
    </row>
    <row r="18" customFormat="false" ht="13.05" hidden="false" customHeight="true" outlineLevel="0" collapsed="false">
      <c r="A18" s="82" t="s">
        <v>106</v>
      </c>
      <c r="B18" s="82"/>
      <c r="C18" s="80"/>
      <c r="D18" s="79"/>
      <c r="E18" s="79"/>
      <c r="F18" s="87" t="n">
        <v>10.5</v>
      </c>
      <c r="G18" s="72"/>
      <c r="H18" s="72"/>
      <c r="I18" s="89"/>
      <c r="J18" s="72"/>
      <c r="K18" s="90"/>
      <c r="L18" s="72"/>
    </row>
    <row r="19" customFormat="false" ht="12.8" hidden="false" customHeight="false" outlineLevel="0" collapsed="false">
      <c r="A19" s="82"/>
      <c r="B19" s="82"/>
      <c r="C19" s="80"/>
      <c r="D19" s="80"/>
      <c r="E19" s="80"/>
      <c r="F19" s="80"/>
      <c r="G19" s="72"/>
      <c r="H19" s="72"/>
      <c r="I19" s="89"/>
      <c r="J19" s="72"/>
      <c r="K19" s="90"/>
      <c r="L19" s="72"/>
    </row>
    <row r="20" customFormat="false" ht="13.05" hidden="false" customHeight="false" outlineLevel="0" collapsed="false">
      <c r="A20" s="80" t="s">
        <v>108</v>
      </c>
      <c r="B20" s="80"/>
      <c r="C20" s="80"/>
      <c r="D20" s="99" t="s">
        <v>109</v>
      </c>
      <c r="E20" s="79"/>
      <c r="F20" s="80"/>
      <c r="G20" s="72"/>
      <c r="H20" s="72"/>
      <c r="I20" s="89"/>
      <c r="J20" s="72"/>
      <c r="K20" s="90"/>
      <c r="L20" s="72"/>
    </row>
    <row r="21" customFormat="false" ht="13.05" hidden="false" customHeight="false" outlineLevel="0" collapsed="false">
      <c r="A21" s="80"/>
      <c r="B21" s="80" t="s">
        <v>110</v>
      </c>
      <c r="C21" s="87" t="s">
        <v>111</v>
      </c>
      <c r="D21" s="100" t="s">
        <v>112</v>
      </c>
      <c r="E21" s="100" t="s">
        <v>113</v>
      </c>
      <c r="F21" s="80"/>
      <c r="G21" s="72"/>
      <c r="H21" s="72"/>
      <c r="I21" s="89"/>
      <c r="J21" s="72"/>
      <c r="K21" s="90"/>
      <c r="L21" s="72"/>
    </row>
    <row r="22" customFormat="false" ht="13.05" hidden="false" customHeight="false" outlineLevel="0" collapsed="false">
      <c r="A22" s="80"/>
      <c r="B22" s="80" t="s">
        <v>114</v>
      </c>
      <c r="C22" s="100" t="s">
        <v>111</v>
      </c>
      <c r="D22" s="87" t="s">
        <v>112</v>
      </c>
      <c r="E22" s="100" t="s">
        <v>113</v>
      </c>
      <c r="F22" s="80"/>
      <c r="G22" s="72"/>
      <c r="H22" s="72"/>
      <c r="I22" s="89"/>
      <c r="J22" s="72"/>
      <c r="K22" s="90"/>
      <c r="L22" s="72"/>
    </row>
    <row r="23" customFormat="false" ht="13.05" hidden="false" customHeight="false" outlineLevel="0" collapsed="false">
      <c r="A23" s="80"/>
      <c r="B23" s="80" t="s">
        <v>115</v>
      </c>
      <c r="C23" s="100" t="s">
        <v>116</v>
      </c>
      <c r="D23" s="87" t="s">
        <v>117</v>
      </c>
      <c r="E23" s="100" t="s">
        <v>118</v>
      </c>
      <c r="F23" s="80"/>
      <c r="G23" s="72"/>
      <c r="H23" s="72"/>
      <c r="I23" s="89"/>
      <c r="J23" s="72"/>
      <c r="K23" s="90"/>
      <c r="L23" s="72"/>
    </row>
    <row r="24" customFormat="false" ht="12.8" hidden="false" customHeight="false" outlineLevel="0" collapsed="false">
      <c r="A24" s="72"/>
      <c r="B24" s="72"/>
      <c r="C24" s="89"/>
      <c r="D24" s="72"/>
      <c r="E24" s="72"/>
      <c r="F24" s="72"/>
      <c r="G24" s="72"/>
      <c r="H24" s="72"/>
      <c r="I24" s="89"/>
      <c r="J24" s="72"/>
      <c r="K24" s="90"/>
      <c r="L24" s="72"/>
    </row>
    <row r="25" customFormat="false" ht="12.8" hidden="false" customHeight="false" outlineLevel="0" collapsed="false">
      <c r="A25" s="101" t="s">
        <v>119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88"/>
      <c r="M25" s="72"/>
    </row>
    <row r="26" customFormat="false" ht="13.05" hidden="false" customHeight="true" outlineLevel="0" collapsed="false">
      <c r="A26" s="79" t="s">
        <v>120</v>
      </c>
      <c r="B26" s="79" t="s">
        <v>121</v>
      </c>
      <c r="C26" s="79"/>
      <c r="D26" s="79"/>
      <c r="E26" s="79"/>
      <c r="F26" s="79" t="s">
        <v>122</v>
      </c>
      <c r="G26" s="79" t="s">
        <v>123</v>
      </c>
      <c r="H26" s="79" t="s">
        <v>97</v>
      </c>
      <c r="I26" s="79" t="s">
        <v>124</v>
      </c>
      <c r="J26" s="79" t="s">
        <v>107</v>
      </c>
      <c r="K26" s="79" t="s">
        <v>124</v>
      </c>
      <c r="L26" s="72"/>
      <c r="M26" s="69"/>
    </row>
    <row r="27" customFormat="false" ht="24.25" hidden="false" customHeight="false" outlineLevel="0" collapsed="false">
      <c r="A27" s="79" t="s">
        <v>125</v>
      </c>
      <c r="B27" s="79"/>
      <c r="C27" s="79"/>
      <c r="D27" s="79"/>
      <c r="E27" s="79"/>
      <c r="F27" s="79" t="s">
        <v>126</v>
      </c>
      <c r="G27" s="79" t="s">
        <v>127</v>
      </c>
      <c r="H27" s="79" t="s">
        <v>128</v>
      </c>
      <c r="I27" s="79" t="s">
        <v>129</v>
      </c>
      <c r="J27" s="79" t="s">
        <v>128</v>
      </c>
      <c r="K27" s="79" t="s">
        <v>129</v>
      </c>
      <c r="L27" s="72"/>
    </row>
    <row r="28" customFormat="false" ht="12.8" hidden="false" customHeight="true" outlineLevel="0" collapsed="false">
      <c r="A28" s="79" t="n">
        <v>1</v>
      </c>
      <c r="B28" s="80" t="s">
        <v>130</v>
      </c>
      <c r="C28" s="80"/>
      <c r="D28" s="80"/>
      <c r="E28" s="80"/>
      <c r="F28" s="87"/>
      <c r="G28" s="87" t="n">
        <v>2.28</v>
      </c>
      <c r="H28" s="102" t="n">
        <f aca="false">VALUES!$F46+(25.6-$E$9)+($D$9-0.5*$F$12-29.4)</f>
        <v>13.45</v>
      </c>
      <c r="I28" s="103" t="n">
        <f aca="false">F28*G28*H28</f>
        <v>0</v>
      </c>
      <c r="J28" s="102" t="n">
        <f aca="false">VALUES!$I46+(25.6-$E$15)+($D$15-0.5*$F$18-29.4)</f>
        <v>3.95</v>
      </c>
      <c r="K28" s="103" t="n">
        <f aca="false">F28*G28*J28</f>
        <v>0</v>
      </c>
      <c r="L28" s="72"/>
    </row>
    <row r="29" customFormat="false" ht="13.05" hidden="false" customHeight="true" outlineLevel="0" collapsed="false">
      <c r="A29" s="79" t="n">
        <v>2</v>
      </c>
      <c r="B29" s="80" t="s">
        <v>131</v>
      </c>
      <c r="C29" s="80"/>
      <c r="D29" s="80"/>
      <c r="E29" s="80"/>
      <c r="F29" s="87"/>
      <c r="G29" s="87" t="n">
        <v>2.28</v>
      </c>
      <c r="H29" s="102" t="n">
        <f aca="false">VALUES!$F47+(25.6-$E$9)+($D$9-0.5*$F$12-29.4)</f>
        <v>13.85</v>
      </c>
      <c r="I29" s="103" t="n">
        <f aca="false">F29*G29*H29</f>
        <v>0</v>
      </c>
      <c r="J29" s="102" t="n">
        <f aca="false">VALUES!$I47+(25.6-$E$15)+($D$15-0.5*$F$18-29.4)</f>
        <v>5.05</v>
      </c>
      <c r="K29" s="103" t="n">
        <f aca="false">F29*G29*J29</f>
        <v>0</v>
      </c>
      <c r="L29" s="72"/>
    </row>
    <row r="30" customFormat="false" ht="12.8" hidden="false" customHeight="true" outlineLevel="0" collapsed="false">
      <c r="A30" s="79" t="n">
        <v>3</v>
      </c>
      <c r="B30" s="80" t="s">
        <v>132</v>
      </c>
      <c r="C30" s="80"/>
      <c r="D30" s="80"/>
      <c r="E30" s="80"/>
      <c r="F30" s="87" t="n">
        <f aca="false">3.7*4.2</f>
        <v>15.54</v>
      </c>
      <c r="G30" s="87" t="n">
        <v>2.28</v>
      </c>
      <c r="H30" s="102" t="n">
        <f aca="false">VALUES!$F48+(25.6-$E$9)+($D$9-0.5*$F$12-29.4)</f>
        <v>13.85</v>
      </c>
      <c r="I30" s="103" t="n">
        <f aca="false">F30*G30*H30</f>
        <v>490.72212</v>
      </c>
      <c r="J30" s="102" t="n">
        <f aca="false">VALUES!$I48+(25.6-$E$15)+($D$15-0.5*$F$18-29.4)</f>
        <v>8.95</v>
      </c>
      <c r="K30" s="103" t="n">
        <f aca="false">F30*G30*J30</f>
        <v>317.10924</v>
      </c>
      <c r="L30" s="72"/>
    </row>
    <row r="31" customFormat="false" ht="13.05" hidden="false" customHeight="true" outlineLevel="0" collapsed="false">
      <c r="A31" s="79" t="n">
        <v>4</v>
      </c>
      <c r="B31" s="80" t="s">
        <v>133</v>
      </c>
      <c r="C31" s="80"/>
      <c r="D31" s="80"/>
      <c r="E31" s="80"/>
      <c r="F31" s="87"/>
      <c r="G31" s="87" t="n">
        <v>2.28</v>
      </c>
      <c r="H31" s="102" t="n">
        <f aca="false">VALUES!$F49+(25.6-$E$9)+($D$9-0.5*$F$12-29.4)</f>
        <v>11.15</v>
      </c>
      <c r="I31" s="103" t="n">
        <f aca="false">F31*G31*H31</f>
        <v>0</v>
      </c>
      <c r="J31" s="102" t="n">
        <f aca="false">VALUES!$I49+(25.6-$E$15)+($D$15-0.5*$F$18-29.4)</f>
        <v>10.55</v>
      </c>
      <c r="K31" s="103" t="n">
        <f aca="false">F31*G31*J31</f>
        <v>0</v>
      </c>
      <c r="L31" s="72"/>
    </row>
    <row r="32" customFormat="false" ht="12.8" hidden="false" customHeight="true" outlineLevel="0" collapsed="false">
      <c r="A32" s="79" t="n">
        <v>5</v>
      </c>
      <c r="B32" s="80" t="s">
        <v>134</v>
      </c>
      <c r="C32" s="80"/>
      <c r="D32" s="80"/>
      <c r="E32" s="80"/>
      <c r="F32" s="87"/>
      <c r="G32" s="87" t="n">
        <v>2.28</v>
      </c>
      <c r="H32" s="102" t="n">
        <f aca="false">VALUES!$F50+(25.6-$E$9)+($D$9-0.5*$F$12-29.4)</f>
        <v>9.95000000000001</v>
      </c>
      <c r="I32" s="103" t="n">
        <f aca="false">F32*G32*H32</f>
        <v>0</v>
      </c>
      <c r="J32" s="102" t="n">
        <f aca="false">VALUES!$I50+(25.6-$E$15)+($D$15-0.5*$F$18-29.4)</f>
        <v>11.65</v>
      </c>
      <c r="K32" s="103" t="n">
        <f aca="false">F32*G32*J32</f>
        <v>0</v>
      </c>
      <c r="L32" s="72"/>
    </row>
    <row r="33" customFormat="false" ht="13.05" hidden="false" customHeight="true" outlineLevel="0" collapsed="false">
      <c r="A33" s="79" t="n">
        <v>6</v>
      </c>
      <c r="B33" s="80" t="s">
        <v>135</v>
      </c>
      <c r="C33" s="80"/>
      <c r="D33" s="80"/>
      <c r="E33" s="80"/>
      <c r="F33" s="87"/>
      <c r="G33" s="87" t="n">
        <v>2.28</v>
      </c>
      <c r="H33" s="102" t="n">
        <f aca="false">VALUES!$F51+(25.6-$E$9)+($D$9-0.5*$F$12-29.4)</f>
        <v>11.95</v>
      </c>
      <c r="I33" s="103" t="n">
        <f aca="false">F33*G33*H33</f>
        <v>0</v>
      </c>
      <c r="J33" s="102" t="n">
        <f aca="false">VALUES!$I51+(25.6-$E$15)+($D$15-0.5*$F$18-29.4)</f>
        <v>11.35</v>
      </c>
      <c r="K33" s="103" t="n">
        <f aca="false">F33*G33*J33</f>
        <v>0</v>
      </c>
      <c r="L33" s="72"/>
    </row>
    <row r="34" customFormat="false" ht="23.85" hidden="false" customHeight="true" outlineLevel="0" collapsed="false">
      <c r="A34" s="79" t="n">
        <v>7</v>
      </c>
      <c r="B34" s="80" t="s">
        <v>136</v>
      </c>
      <c r="C34" s="80"/>
      <c r="D34" s="80"/>
      <c r="E34" s="80"/>
      <c r="F34" s="87"/>
      <c r="G34" s="87" t="n">
        <v>2.28</v>
      </c>
      <c r="H34" s="102" t="n">
        <f aca="false">VALUES!$F52+(25.6-$E$9)+($D$9-0.5*$F$12-29.4)</f>
        <v>15.05</v>
      </c>
      <c r="I34" s="103" t="n">
        <f aca="false">F34*G34*H34</f>
        <v>0</v>
      </c>
      <c r="J34" s="102" t="n">
        <f aca="false">VALUES!$I52+(25.6-$E$15)+($D$15-0.5*$F$18-29.4)</f>
        <v>10.15</v>
      </c>
      <c r="K34" s="103" t="n">
        <f aca="false">F34*G34*J34</f>
        <v>0</v>
      </c>
      <c r="L34" s="72"/>
      <c r="M34" s="104" t="s">
        <v>137</v>
      </c>
      <c r="N34" s="104" t="s">
        <v>138</v>
      </c>
    </row>
    <row r="35" customFormat="false" ht="13.05" hidden="false" customHeight="true" outlineLevel="0" collapsed="false">
      <c r="A35" s="79" t="n">
        <v>8</v>
      </c>
      <c r="B35" s="80" t="s">
        <v>139</v>
      </c>
      <c r="C35" s="80"/>
      <c r="D35" s="80"/>
      <c r="E35" s="80"/>
      <c r="F35" s="87"/>
      <c r="G35" s="87" t="n">
        <v>2.28</v>
      </c>
      <c r="H35" s="102" t="n">
        <f aca="false">VALUES!$F53+(25.6-$E$9)+($D$9-0.5*$F$12-29.4)</f>
        <v>14.65</v>
      </c>
      <c r="I35" s="103" t="n">
        <f aca="false">F35*G35*H35</f>
        <v>0</v>
      </c>
      <c r="J35" s="102" t="n">
        <f aca="false">VALUES!$I53+(25.6-$E$15)+($D$15-0.5*$F$18-29.4)</f>
        <v>5.85</v>
      </c>
      <c r="K35" s="103" t="n">
        <f aca="false">F35*G35*J35</f>
        <v>0</v>
      </c>
      <c r="L35" s="72"/>
      <c r="M35" s="105"/>
      <c r="N35" s="105"/>
      <c r="O35" s="104" t="n">
        <f aca="false">VALUES!$C$21</f>
        <v>6</v>
      </c>
      <c r="P35" s="104" t="n">
        <f aca="false">VALUES!$D$21</f>
        <v>7</v>
      </c>
      <c r="Q35" s="104" t="n">
        <f aca="false">VALUES!$E$21</f>
        <v>8</v>
      </c>
      <c r="R35" s="104" t="n">
        <f aca="false">VALUES!$F$21</f>
        <v>9</v>
      </c>
      <c r="S35" s="104" t="n">
        <f aca="false">VALUES!$G$21</f>
        <v>10</v>
      </c>
      <c r="T35" s="104" t="n">
        <f aca="false">VALUES!$H$21</f>
        <v>11</v>
      </c>
      <c r="U35" s="104" t="n">
        <f aca="false">VALUES!$I$21</f>
        <v>12</v>
      </c>
      <c r="V35" s="104" t="n">
        <f aca="false">VALUES!$J$21</f>
        <v>13</v>
      </c>
      <c r="W35" s="104" t="n">
        <f aca="false">VALUES!$K$21</f>
        <v>14</v>
      </c>
      <c r="X35" s="104" t="n">
        <f aca="false">VALUES!$L$21</f>
        <v>15</v>
      </c>
      <c r="Y35" s="104" t="n">
        <f aca="false">VALUES!$M$21</f>
        <v>16</v>
      </c>
      <c r="Z35" s="104" t="n">
        <f aca="false">VALUES!$N$21</f>
        <v>17</v>
      </c>
      <c r="AA35" s="104" t="n">
        <f aca="false">VALUES!$O$21</f>
        <v>18</v>
      </c>
    </row>
    <row r="36" customFormat="false" ht="12.8" hidden="false" customHeight="true" outlineLevel="0" collapsed="false">
      <c r="A36" s="79" t="n">
        <v>9</v>
      </c>
      <c r="B36" s="80" t="s">
        <v>140</v>
      </c>
      <c r="C36" s="80"/>
      <c r="D36" s="80"/>
      <c r="E36" s="80"/>
      <c r="F36" s="87"/>
      <c r="G36" s="87" t="n">
        <v>5.23</v>
      </c>
      <c r="H36" s="102" t="n">
        <f aca="false">M36+(25.6-$E$9)+($D$9-0.5*$F$12-29.4)</f>
        <v>4.15000000000001</v>
      </c>
      <c r="I36" s="103" t="n">
        <f aca="false">F36*G36*H36</f>
        <v>0</v>
      </c>
      <c r="J36" s="102" t="n">
        <f aca="false">N36+(25.6-$E$15)+($D$15-0.5*$F$18-29.4)</f>
        <v>-0.75</v>
      </c>
      <c r="K36" s="103" t="n">
        <f aca="false">F36*G36*J36</f>
        <v>-0</v>
      </c>
      <c r="L36" s="72"/>
      <c r="M36" s="106" t="n">
        <f aca="false">INDEX(O36:AA36,1,MATCH(MAX($O$64:$AA$64),$O$64:$AA$64,0))</f>
        <v>0</v>
      </c>
      <c r="N36" s="107" t="n">
        <f aca="false">INDEX(O36:AA36,1,MATCH(MAX($O$65:$AA$65),$O$65:$AA$65,0))</f>
        <v>0</v>
      </c>
      <c r="O36" s="108" t="n">
        <f aca="false">VALUES!C$61</f>
        <v>-1.1</v>
      </c>
      <c r="P36" s="108" t="n">
        <f aca="false">VALUES!D$61</f>
        <v>-1.1</v>
      </c>
      <c r="Q36" s="108" t="n">
        <f aca="false">VALUES!E$61</f>
        <v>0</v>
      </c>
      <c r="R36" s="108" t="n">
        <f aca="false">VALUES!F$61</f>
        <v>1.1</v>
      </c>
      <c r="S36" s="108" t="n">
        <f aca="false">VALUES!G$61</f>
        <v>2.2</v>
      </c>
      <c r="T36" s="108" t="n">
        <f aca="false">VALUES!H$61</f>
        <v>3.9</v>
      </c>
      <c r="U36" s="108" t="n">
        <f aca="false">VALUES!I$61</f>
        <v>5</v>
      </c>
      <c r="V36" s="108" t="n">
        <f aca="false">VALUES!J$61</f>
        <v>6.7</v>
      </c>
      <c r="W36" s="108" t="n">
        <f aca="false">VALUES!K$61</f>
        <v>7.2</v>
      </c>
      <c r="X36" s="108" t="n">
        <f aca="false">VALUES!L$61</f>
        <v>7.8</v>
      </c>
      <c r="Y36" s="108" t="n">
        <f aca="false">VALUES!M$61</f>
        <v>7.8</v>
      </c>
      <c r="Z36" s="108" t="n">
        <f aca="false">VALUES!N$61</f>
        <v>7.2</v>
      </c>
      <c r="AA36" s="108" t="n">
        <f aca="false">VALUES!O$61</f>
        <v>6.7</v>
      </c>
    </row>
    <row r="37" customFormat="false" ht="13.05" hidden="false" customHeight="true" outlineLevel="0" collapsed="false">
      <c r="A37" s="79" t="n">
        <v>10</v>
      </c>
      <c r="B37" s="80" t="s">
        <v>141</v>
      </c>
      <c r="C37" s="80"/>
      <c r="D37" s="80"/>
      <c r="E37" s="80"/>
      <c r="F37" s="87"/>
      <c r="G37" s="87" t="n">
        <v>5.23</v>
      </c>
      <c r="H37" s="102" t="n">
        <f aca="false">M37+(25.6-$E$9)+($D$9-0.5*$F$12-29.4)</f>
        <v>4.15000000000001</v>
      </c>
      <c r="I37" s="103" t="n">
        <f aca="false">F37*G37*H37</f>
        <v>0</v>
      </c>
      <c r="J37" s="102" t="n">
        <f aca="false">N37+(25.6-$E$15)+($D$15-0.5*$F$18-29.4)</f>
        <v>-0.75</v>
      </c>
      <c r="K37" s="103" t="n">
        <f aca="false">F37*G37*J37</f>
        <v>-0</v>
      </c>
      <c r="L37" s="72"/>
      <c r="M37" s="109" t="n">
        <f aca="false">INDEX(O37:AA37,1,MATCH(MAX($O$64:$AA$64),$O$64:$AA$64,0))</f>
        <v>0</v>
      </c>
      <c r="N37" s="110" t="n">
        <f aca="false">INDEX(O37:AA37,1,MATCH(MAX($O$65:$AA$65),$O$65:$AA$65,0))</f>
        <v>0</v>
      </c>
      <c r="O37" s="108" t="n">
        <f aca="false">VALUES!C$61</f>
        <v>-1.1</v>
      </c>
      <c r="P37" s="108" t="n">
        <f aca="false">VALUES!D$61</f>
        <v>-1.1</v>
      </c>
      <c r="Q37" s="108" t="n">
        <f aca="false">VALUES!E$61</f>
        <v>0</v>
      </c>
      <c r="R37" s="108" t="n">
        <f aca="false">VALUES!F$61</f>
        <v>1.1</v>
      </c>
      <c r="S37" s="108" t="n">
        <f aca="false">VALUES!G$61</f>
        <v>2.2</v>
      </c>
      <c r="T37" s="108" t="n">
        <f aca="false">VALUES!H$61</f>
        <v>3.9</v>
      </c>
      <c r="U37" s="108" t="n">
        <f aca="false">VALUES!I$61</f>
        <v>5</v>
      </c>
      <c r="V37" s="108" t="n">
        <f aca="false">VALUES!J$61</f>
        <v>6.7</v>
      </c>
      <c r="W37" s="108" t="n">
        <f aca="false">VALUES!K$61</f>
        <v>7.2</v>
      </c>
      <c r="X37" s="108" t="n">
        <f aca="false">VALUES!L$61</f>
        <v>7.8</v>
      </c>
      <c r="Y37" s="108" t="n">
        <f aca="false">VALUES!M$61</f>
        <v>7.8</v>
      </c>
      <c r="Z37" s="108" t="n">
        <f aca="false">VALUES!N$61</f>
        <v>7.2</v>
      </c>
      <c r="AA37" s="108" t="n">
        <f aca="false">VALUES!O$61</f>
        <v>6.7</v>
      </c>
    </row>
    <row r="38" customFormat="false" ht="12.8" hidden="false" customHeight="true" outlineLevel="0" collapsed="false">
      <c r="A38" s="79" t="n">
        <v>11</v>
      </c>
      <c r="B38" s="80" t="s">
        <v>142</v>
      </c>
      <c r="C38" s="80"/>
      <c r="D38" s="80"/>
      <c r="E38" s="80"/>
      <c r="F38" s="87" t="n">
        <f aca="false">F30*0.3</f>
        <v>4.662</v>
      </c>
      <c r="G38" s="87" t="n">
        <v>5.23</v>
      </c>
      <c r="H38" s="102" t="n">
        <f aca="false">M38+(25.6-$E$9)+($D$9-0.5*$F$12-29.4)</f>
        <v>4.15000000000001</v>
      </c>
      <c r="I38" s="103" t="n">
        <f aca="false">F38*G38*H38</f>
        <v>101.186379</v>
      </c>
      <c r="J38" s="102" t="n">
        <f aca="false">N38+(25.6-$E$15)+($D$15-0.5*$F$18-29.4)</f>
        <v>-0.75</v>
      </c>
      <c r="K38" s="103" t="n">
        <f aca="false">F38*G38*J38</f>
        <v>-18.286695</v>
      </c>
      <c r="L38" s="72"/>
      <c r="M38" s="109" t="n">
        <f aca="false">INDEX(O38:AA38,1,MATCH(MAX($O$64:$AA$64),$O$64:$AA$64,0))</f>
        <v>0</v>
      </c>
      <c r="N38" s="110" t="n">
        <f aca="false">INDEX(O38:AA38,1,MATCH(MAX($O$65:$AA$65),$O$65:$AA$65,0))</f>
        <v>0</v>
      </c>
      <c r="O38" s="108" t="n">
        <f aca="false">VALUES!C$61</f>
        <v>-1.1</v>
      </c>
      <c r="P38" s="108" t="n">
        <f aca="false">VALUES!D$61</f>
        <v>-1.1</v>
      </c>
      <c r="Q38" s="108" t="n">
        <f aca="false">VALUES!E$61</f>
        <v>0</v>
      </c>
      <c r="R38" s="108" t="n">
        <f aca="false">VALUES!F$61</f>
        <v>1.1</v>
      </c>
      <c r="S38" s="108" t="n">
        <f aca="false">VALUES!G$61</f>
        <v>2.2</v>
      </c>
      <c r="T38" s="108" t="n">
        <f aca="false">VALUES!H$61</f>
        <v>3.9</v>
      </c>
      <c r="U38" s="108" t="n">
        <f aca="false">VALUES!I$61</f>
        <v>5</v>
      </c>
      <c r="V38" s="108" t="n">
        <f aca="false">VALUES!J$61</f>
        <v>6.7</v>
      </c>
      <c r="W38" s="108" t="n">
        <f aca="false">VALUES!K$61</f>
        <v>7.2</v>
      </c>
      <c r="X38" s="108" t="n">
        <f aca="false">VALUES!L$61</f>
        <v>7.8</v>
      </c>
      <c r="Y38" s="108" t="n">
        <f aca="false">VALUES!M$61</f>
        <v>7.8</v>
      </c>
      <c r="Z38" s="108" t="n">
        <f aca="false">VALUES!N$61</f>
        <v>7.2</v>
      </c>
      <c r="AA38" s="108" t="n">
        <f aca="false">VALUES!O$61</f>
        <v>6.7</v>
      </c>
    </row>
    <row r="39" customFormat="false" ht="13.05" hidden="false" customHeight="true" outlineLevel="0" collapsed="false">
      <c r="A39" s="79" t="n">
        <v>12</v>
      </c>
      <c r="B39" s="80" t="s">
        <v>143</v>
      </c>
      <c r="C39" s="80"/>
      <c r="D39" s="80"/>
      <c r="E39" s="80"/>
      <c r="F39" s="87"/>
      <c r="G39" s="87" t="n">
        <v>5.23</v>
      </c>
      <c r="H39" s="102" t="n">
        <f aca="false">M39+(25.6-$E$9)+($D$9-0.5*$F$12-29.4)</f>
        <v>4.15000000000001</v>
      </c>
      <c r="I39" s="103" t="n">
        <f aca="false">F39*G39*H39</f>
        <v>0</v>
      </c>
      <c r="J39" s="102" t="n">
        <f aca="false">N39+(25.6-$E$15)+($D$15-0.5*$F$18-29.4)</f>
        <v>-0.75</v>
      </c>
      <c r="K39" s="103" t="n">
        <f aca="false">F39*G39*J39</f>
        <v>-0</v>
      </c>
      <c r="L39" s="72"/>
      <c r="M39" s="109" t="n">
        <f aca="false">INDEX(O39:AA39,1,MATCH(MAX($O$64:$AA$64),$O$64:$AA$64,0))</f>
        <v>0</v>
      </c>
      <c r="N39" s="110" t="n">
        <f aca="false">INDEX(O39:AA39,1,MATCH(MAX($O$65:$AA$65),$O$65:$AA$65,0))</f>
        <v>0</v>
      </c>
      <c r="O39" s="108" t="n">
        <f aca="false">VALUES!C$61</f>
        <v>-1.1</v>
      </c>
      <c r="P39" s="108" t="n">
        <f aca="false">VALUES!D$61</f>
        <v>-1.1</v>
      </c>
      <c r="Q39" s="108" t="n">
        <f aca="false">VALUES!E$61</f>
        <v>0</v>
      </c>
      <c r="R39" s="108" t="n">
        <f aca="false">VALUES!F$61</f>
        <v>1.1</v>
      </c>
      <c r="S39" s="108" t="n">
        <f aca="false">VALUES!G$61</f>
        <v>2.2</v>
      </c>
      <c r="T39" s="108" t="n">
        <f aca="false">VALUES!H$61</f>
        <v>3.9</v>
      </c>
      <c r="U39" s="108" t="n">
        <f aca="false">VALUES!I$61</f>
        <v>5</v>
      </c>
      <c r="V39" s="108" t="n">
        <f aca="false">VALUES!J$61</f>
        <v>6.7</v>
      </c>
      <c r="W39" s="108" t="n">
        <f aca="false">VALUES!K$61</f>
        <v>7.2</v>
      </c>
      <c r="X39" s="108" t="n">
        <f aca="false">VALUES!L$61</f>
        <v>7.8</v>
      </c>
      <c r="Y39" s="108" t="n">
        <f aca="false">VALUES!M$61</f>
        <v>7.8</v>
      </c>
      <c r="Z39" s="108" t="n">
        <f aca="false">VALUES!N$61</f>
        <v>7.2</v>
      </c>
      <c r="AA39" s="108" t="n">
        <f aca="false">VALUES!O$61</f>
        <v>6.7</v>
      </c>
    </row>
    <row r="40" customFormat="false" ht="12.8" hidden="false" customHeight="true" outlineLevel="0" collapsed="false">
      <c r="A40" s="79" t="n">
        <v>13</v>
      </c>
      <c r="B40" s="80" t="s">
        <v>144</v>
      </c>
      <c r="C40" s="80"/>
      <c r="D40" s="80"/>
      <c r="E40" s="80"/>
      <c r="F40" s="87"/>
      <c r="G40" s="87" t="n">
        <v>5.23</v>
      </c>
      <c r="H40" s="102" t="n">
        <f aca="false">M40+(25.6-$E$9)+($D$9-0.5*$F$12-29.4)</f>
        <v>4.15000000000001</v>
      </c>
      <c r="I40" s="103" t="n">
        <f aca="false">F40*G40*H40</f>
        <v>0</v>
      </c>
      <c r="J40" s="102" t="n">
        <f aca="false">N40+(25.6-$E$15)+($D$15-0.5*$F$18-29.4)</f>
        <v>-0.75</v>
      </c>
      <c r="K40" s="103" t="n">
        <f aca="false">F40*G40*J40</f>
        <v>-0</v>
      </c>
      <c r="L40" s="72"/>
      <c r="M40" s="109" t="n">
        <f aca="false">INDEX(O40:AA40,1,MATCH(MAX($O$64:$AA$64),$O$64:$AA$64,0))</f>
        <v>0</v>
      </c>
      <c r="N40" s="110" t="n">
        <f aca="false">INDEX(O40:AA40,1,MATCH(MAX($O$65:$AA$65),$O$65:$AA$65,0))</f>
        <v>0</v>
      </c>
      <c r="O40" s="108" t="n">
        <f aca="false">VALUES!C$61</f>
        <v>-1.1</v>
      </c>
      <c r="P40" s="108" t="n">
        <f aca="false">VALUES!D$61</f>
        <v>-1.1</v>
      </c>
      <c r="Q40" s="108" t="n">
        <f aca="false">VALUES!E$61</f>
        <v>0</v>
      </c>
      <c r="R40" s="108" t="n">
        <f aca="false">VALUES!F$61</f>
        <v>1.1</v>
      </c>
      <c r="S40" s="108" t="n">
        <f aca="false">VALUES!G$61</f>
        <v>2.2</v>
      </c>
      <c r="T40" s="108" t="n">
        <f aca="false">VALUES!H$61</f>
        <v>3.9</v>
      </c>
      <c r="U40" s="108" t="n">
        <f aca="false">VALUES!I$61</f>
        <v>5</v>
      </c>
      <c r="V40" s="108" t="n">
        <f aca="false">VALUES!J$61</f>
        <v>6.7</v>
      </c>
      <c r="W40" s="108" t="n">
        <f aca="false">VALUES!K$61</f>
        <v>7.2</v>
      </c>
      <c r="X40" s="108" t="n">
        <f aca="false">VALUES!L$61</f>
        <v>7.8</v>
      </c>
      <c r="Y40" s="108" t="n">
        <f aca="false">VALUES!M$61</f>
        <v>7.8</v>
      </c>
      <c r="Z40" s="108" t="n">
        <f aca="false">VALUES!N$61</f>
        <v>7.2</v>
      </c>
      <c r="AA40" s="108" t="n">
        <f aca="false">VALUES!O$61</f>
        <v>6.7</v>
      </c>
    </row>
    <row r="41" customFormat="false" ht="13.05" hidden="false" customHeight="true" outlineLevel="0" collapsed="false">
      <c r="A41" s="79" t="n">
        <v>14</v>
      </c>
      <c r="B41" s="80" t="s">
        <v>145</v>
      </c>
      <c r="C41" s="80"/>
      <c r="D41" s="80"/>
      <c r="E41" s="80"/>
      <c r="F41" s="87"/>
      <c r="G41" s="87" t="n">
        <v>5.23</v>
      </c>
      <c r="H41" s="102" t="n">
        <f aca="false">M41+(25.6-$E$9)+($D$9-0.5*$F$12-29.4)</f>
        <v>4.15000000000001</v>
      </c>
      <c r="I41" s="103" t="n">
        <f aca="false">F41*G41*H41</f>
        <v>0</v>
      </c>
      <c r="J41" s="102" t="n">
        <f aca="false">N41+(25.6-$E$15)+($D$15-0.5*$F$18-29.4)</f>
        <v>-0.75</v>
      </c>
      <c r="K41" s="103" t="n">
        <f aca="false">F41*G41*J41</f>
        <v>-0</v>
      </c>
      <c r="L41" s="72"/>
      <c r="M41" s="109" t="n">
        <f aca="false">INDEX(O41:AA41,1,MATCH(MAX($O$64:$AA$64),$O$64:$AA$64,0))</f>
        <v>0</v>
      </c>
      <c r="N41" s="110" t="n">
        <f aca="false">INDEX(O41:AA41,1,MATCH(MAX($O$65:$AA$65),$O$65:$AA$65,0))</f>
        <v>0</v>
      </c>
      <c r="O41" s="108" t="n">
        <f aca="false">VALUES!C$61</f>
        <v>-1.1</v>
      </c>
      <c r="P41" s="108" t="n">
        <f aca="false">VALUES!D$61</f>
        <v>-1.1</v>
      </c>
      <c r="Q41" s="108" t="n">
        <f aca="false">VALUES!E$61</f>
        <v>0</v>
      </c>
      <c r="R41" s="108" t="n">
        <f aca="false">VALUES!F$61</f>
        <v>1.1</v>
      </c>
      <c r="S41" s="108" t="n">
        <f aca="false">VALUES!G$61</f>
        <v>2.2</v>
      </c>
      <c r="T41" s="108" t="n">
        <f aca="false">VALUES!H$61</f>
        <v>3.9</v>
      </c>
      <c r="U41" s="108" t="n">
        <f aca="false">VALUES!I$61</f>
        <v>5</v>
      </c>
      <c r="V41" s="108" t="n">
        <f aca="false">VALUES!J$61</f>
        <v>6.7</v>
      </c>
      <c r="W41" s="108" t="n">
        <f aca="false">VALUES!K$61</f>
        <v>7.2</v>
      </c>
      <c r="X41" s="108" t="n">
        <f aca="false">VALUES!L$61</f>
        <v>7.8</v>
      </c>
      <c r="Y41" s="108" t="n">
        <f aca="false">VALUES!M$61</f>
        <v>7.8</v>
      </c>
      <c r="Z41" s="108" t="n">
        <f aca="false">VALUES!N$61</f>
        <v>7.2</v>
      </c>
      <c r="AA41" s="108" t="n">
        <f aca="false">VALUES!O$61</f>
        <v>6.7</v>
      </c>
    </row>
    <row r="42" customFormat="false" ht="13.05" hidden="false" customHeight="true" outlineLevel="0" collapsed="false">
      <c r="A42" s="79" t="n">
        <v>15</v>
      </c>
      <c r="B42" s="80" t="s">
        <v>146</v>
      </c>
      <c r="C42" s="80"/>
      <c r="D42" s="80"/>
      <c r="E42" s="80"/>
      <c r="F42" s="87"/>
      <c r="G42" s="87" t="n">
        <v>5.23</v>
      </c>
      <c r="H42" s="102" t="n">
        <f aca="false">M42+(25.6-$E$9)+($D$9-0.5*$F$12-29.4)</f>
        <v>4.15000000000001</v>
      </c>
      <c r="I42" s="103" t="n">
        <f aca="false">F42*G42*H42</f>
        <v>0</v>
      </c>
      <c r="J42" s="102" t="n">
        <f aca="false">N42+(25.6-$E$15)+($D$15-0.5*$F$18-29.4)</f>
        <v>-0.75</v>
      </c>
      <c r="K42" s="103" t="n">
        <f aca="false">F42*G42*J42</f>
        <v>-0</v>
      </c>
      <c r="L42" s="72"/>
      <c r="M42" s="109" t="n">
        <f aca="false">INDEX(O42:AA42,1,MATCH(MAX($O$64:$AA$64),$O$64:$AA$64,0))</f>
        <v>0</v>
      </c>
      <c r="N42" s="110" t="n">
        <f aca="false">INDEX(O42:AA42,1,MATCH(MAX($O$65:$AA$65),$O$65:$AA$65,0))</f>
        <v>0</v>
      </c>
      <c r="O42" s="108" t="n">
        <f aca="false">VALUES!C$61</f>
        <v>-1.1</v>
      </c>
      <c r="P42" s="108" t="n">
        <f aca="false">VALUES!D$61</f>
        <v>-1.1</v>
      </c>
      <c r="Q42" s="108" t="n">
        <f aca="false">VALUES!E$61</f>
        <v>0</v>
      </c>
      <c r="R42" s="108" t="n">
        <f aca="false">VALUES!F$61</f>
        <v>1.1</v>
      </c>
      <c r="S42" s="108" t="n">
        <f aca="false">VALUES!G$61</f>
        <v>2.2</v>
      </c>
      <c r="T42" s="108" t="n">
        <f aca="false">VALUES!H$61</f>
        <v>3.9</v>
      </c>
      <c r="U42" s="108" t="n">
        <f aca="false">VALUES!I$61</f>
        <v>5</v>
      </c>
      <c r="V42" s="108" t="n">
        <f aca="false">VALUES!J$61</f>
        <v>6.7</v>
      </c>
      <c r="W42" s="108" t="n">
        <f aca="false">VALUES!K$61</f>
        <v>7.2</v>
      </c>
      <c r="X42" s="108" t="n">
        <f aca="false">VALUES!L$61</f>
        <v>7.8</v>
      </c>
      <c r="Y42" s="108" t="n">
        <f aca="false">VALUES!M$61</f>
        <v>7.8</v>
      </c>
      <c r="Z42" s="108" t="n">
        <f aca="false">VALUES!N$61</f>
        <v>7.2</v>
      </c>
      <c r="AA42" s="108" t="n">
        <f aca="false">VALUES!O$61</f>
        <v>6.7</v>
      </c>
    </row>
    <row r="43" customFormat="false" ht="13.05" hidden="false" customHeight="true" outlineLevel="0" collapsed="false">
      <c r="A43" s="79" t="n">
        <v>16</v>
      </c>
      <c r="B43" s="80" t="s">
        <v>147</v>
      </c>
      <c r="C43" s="80"/>
      <c r="D43" s="80"/>
      <c r="E43" s="80"/>
      <c r="F43" s="87"/>
      <c r="G43" s="87" t="n">
        <v>5.23</v>
      </c>
      <c r="H43" s="102" t="n">
        <f aca="false">M43+(25.6-$E$9)+($D$9-0.5*$F$12-29.4)</f>
        <v>4.15000000000001</v>
      </c>
      <c r="I43" s="103" t="n">
        <f aca="false">F43*G43*H43</f>
        <v>0</v>
      </c>
      <c r="J43" s="102" t="n">
        <f aca="false">N43+(25.6-$E$15)+($D$15-0.5*$F$18-29.4)</f>
        <v>-0.75</v>
      </c>
      <c r="K43" s="103" t="n">
        <f aca="false">F43*G43*J43</f>
        <v>-0</v>
      </c>
      <c r="L43" s="72"/>
      <c r="M43" s="109" t="n">
        <f aca="false">INDEX(O43:AA43,1,MATCH(MAX($O$64:$AA$64),$O$64:$AA$64,0))</f>
        <v>0</v>
      </c>
      <c r="N43" s="110" t="n">
        <f aca="false">INDEX(O43:AA43,1,MATCH(MAX($O$65:$AA$65),$O$65:$AA$65,0))</f>
        <v>0</v>
      </c>
      <c r="O43" s="108" t="n">
        <f aca="false">VALUES!C$61</f>
        <v>-1.1</v>
      </c>
      <c r="P43" s="108" t="n">
        <f aca="false">VALUES!D$61</f>
        <v>-1.1</v>
      </c>
      <c r="Q43" s="108" t="n">
        <f aca="false">VALUES!E$61</f>
        <v>0</v>
      </c>
      <c r="R43" s="108" t="n">
        <f aca="false">VALUES!F$61</f>
        <v>1.1</v>
      </c>
      <c r="S43" s="108" t="n">
        <f aca="false">VALUES!G$61</f>
        <v>2.2</v>
      </c>
      <c r="T43" s="108" t="n">
        <f aca="false">VALUES!H$61</f>
        <v>3.9</v>
      </c>
      <c r="U43" s="108" t="n">
        <f aca="false">VALUES!I$61</f>
        <v>5</v>
      </c>
      <c r="V43" s="108" t="n">
        <f aca="false">VALUES!J$61</f>
        <v>6.7</v>
      </c>
      <c r="W43" s="108" t="n">
        <f aca="false">VALUES!K$61</f>
        <v>7.2</v>
      </c>
      <c r="X43" s="108" t="n">
        <f aca="false">VALUES!L$61</f>
        <v>7.8</v>
      </c>
      <c r="Y43" s="108" t="n">
        <f aca="false">VALUES!M$61</f>
        <v>7.8</v>
      </c>
      <c r="Z43" s="108" t="n">
        <f aca="false">VALUES!N$61</f>
        <v>7.2</v>
      </c>
      <c r="AA43" s="108" t="n">
        <f aca="false">VALUES!O$61</f>
        <v>6.7</v>
      </c>
    </row>
    <row r="44" customFormat="false" ht="12.8" hidden="false" customHeight="true" outlineLevel="0" collapsed="false">
      <c r="A44" s="79" t="n">
        <v>17</v>
      </c>
      <c r="B44" s="80" t="s">
        <v>148</v>
      </c>
      <c r="C44" s="80"/>
      <c r="D44" s="80"/>
      <c r="E44" s="80"/>
      <c r="F44" s="87" t="n">
        <f aca="false">(3.7+3.7+5.6)*4.2</f>
        <v>54.6</v>
      </c>
      <c r="G44" s="87" t="n">
        <v>2.28</v>
      </c>
      <c r="H44" s="102" t="n">
        <f aca="false">$D$9-$E$9-3</f>
        <v>10.2</v>
      </c>
      <c r="I44" s="103" t="n">
        <f aca="false">F44*G44*H44</f>
        <v>1269.7776</v>
      </c>
      <c r="J44" s="102" t="n">
        <f aca="false">$D$15-$E$15-3</f>
        <v>5.3</v>
      </c>
      <c r="K44" s="103" t="n">
        <f aca="false">F44*G44*J44</f>
        <v>659.7864</v>
      </c>
      <c r="L44" s="72"/>
      <c r="M44" s="111"/>
      <c r="N44" s="111"/>
    </row>
    <row r="45" customFormat="false" ht="13.05" hidden="false" customHeight="true" outlineLevel="0" collapsed="false">
      <c r="A45" s="79" t="n">
        <v>18</v>
      </c>
      <c r="B45" s="80" t="s">
        <v>149</v>
      </c>
      <c r="C45" s="80"/>
      <c r="D45" s="80"/>
      <c r="E45" s="80"/>
      <c r="F45" s="87"/>
      <c r="G45" s="87" t="n">
        <v>7.1</v>
      </c>
      <c r="H45" s="102" t="n">
        <f aca="false">$D$9-$E$9-3</f>
        <v>10.2</v>
      </c>
      <c r="I45" s="103" t="n">
        <f aca="false">F45*G45*H45</f>
        <v>0</v>
      </c>
      <c r="J45" s="102" t="n">
        <f aca="false">$D$15-$E$15-3</f>
        <v>5.3</v>
      </c>
      <c r="K45" s="103" t="n">
        <f aca="false">F45*G45*J45</f>
        <v>0</v>
      </c>
      <c r="L45" s="72"/>
      <c r="M45" s="111"/>
      <c r="N45" s="111"/>
    </row>
    <row r="46" customFormat="false" ht="12.8" hidden="false" customHeight="true" outlineLevel="0" collapsed="false">
      <c r="A46" s="79" t="n">
        <v>19</v>
      </c>
      <c r="B46" s="80" t="s">
        <v>150</v>
      </c>
      <c r="C46" s="80"/>
      <c r="D46" s="80"/>
      <c r="E46" s="80"/>
      <c r="F46" s="87"/>
      <c r="G46" s="87" t="n">
        <v>3.19</v>
      </c>
      <c r="H46" s="102" t="n">
        <f aca="false">$D$9-$E$9-3</f>
        <v>10.2</v>
      </c>
      <c r="I46" s="103" t="n">
        <f aca="false">F46*G46*H46</f>
        <v>0</v>
      </c>
      <c r="J46" s="102" t="n">
        <f aca="false">$D$15-$E$15-3</f>
        <v>5.3</v>
      </c>
      <c r="K46" s="103" t="n">
        <f aca="false">F46*G46*J46</f>
        <v>0</v>
      </c>
      <c r="L46" s="72"/>
      <c r="M46" s="111"/>
      <c r="N46" s="111"/>
    </row>
    <row r="47" customFormat="false" ht="12.85" hidden="false" customHeight="true" outlineLevel="0" collapsed="false">
      <c r="A47" s="79" t="n">
        <v>20</v>
      </c>
      <c r="B47" s="80" t="s">
        <v>151</v>
      </c>
      <c r="C47" s="80"/>
      <c r="D47" s="80"/>
      <c r="E47" s="80"/>
      <c r="F47" s="205" t="n">
        <f aca="false">B85</f>
        <v>20.72</v>
      </c>
      <c r="G47" s="87" t="n">
        <v>0.7</v>
      </c>
      <c r="H47" s="102" t="n">
        <f aca="false">VALUES!$F$39+(25.6-$E$9)+($D$9-0.5*$F$12-29.4)</f>
        <v>29.65</v>
      </c>
      <c r="I47" s="103" t="n">
        <f aca="false">F47*G47*H47</f>
        <v>430.0436</v>
      </c>
      <c r="J47" s="102" t="n">
        <f aca="false">VALUES!$I$39+(25.6-$E$15)+($D$15-0.5*$F$18-29.4)</f>
        <v>23.75</v>
      </c>
      <c r="K47" s="103" t="n">
        <f aca="false">F47*G47*J47</f>
        <v>344.47</v>
      </c>
      <c r="M47" s="111"/>
      <c r="N47" s="111"/>
    </row>
    <row r="48" customFormat="false" ht="24.25" hidden="false" customHeight="true" outlineLevel="0" collapsed="false">
      <c r="A48" s="79" t="n">
        <v>21</v>
      </c>
      <c r="B48" s="80" t="s">
        <v>152</v>
      </c>
      <c r="C48" s="80"/>
      <c r="D48" s="80"/>
      <c r="E48" s="80"/>
      <c r="F48" s="87" t="n">
        <f aca="false">B85</f>
        <v>20.72</v>
      </c>
      <c r="G48" s="87" t="n">
        <v>3.19</v>
      </c>
      <c r="H48" s="102" t="n">
        <f aca="false">$D$9-$E$9-3</f>
        <v>10.2</v>
      </c>
      <c r="I48" s="103" t="n">
        <f aca="false">F48*G48*H48</f>
        <v>674.18736</v>
      </c>
      <c r="J48" s="102" t="n">
        <f aca="false">$D$15-$E$15-3</f>
        <v>5.3</v>
      </c>
      <c r="K48" s="103" t="n">
        <f aca="false">F48*G48*J48</f>
        <v>350.31304</v>
      </c>
      <c r="M48" s="111"/>
      <c r="N48" s="111"/>
    </row>
    <row r="49" customFormat="false" ht="13.05" hidden="false" customHeight="true" outlineLevel="0" collapsed="false">
      <c r="A49" s="79" t="n">
        <v>22</v>
      </c>
      <c r="B49" s="80" t="s">
        <v>153</v>
      </c>
      <c r="C49" s="80"/>
      <c r="D49" s="80"/>
      <c r="E49" s="80"/>
      <c r="F49" s="87"/>
      <c r="G49" s="87" t="n">
        <v>5.23</v>
      </c>
      <c r="H49" s="102" t="n">
        <f aca="false">M49+(25.6-$E$9)+($D$9-0.5*$F$12-29.4)</f>
        <v>4.15000000000001</v>
      </c>
      <c r="I49" s="103" t="n">
        <f aca="false">F49*G49*H49</f>
        <v>0</v>
      </c>
      <c r="J49" s="102" t="n">
        <f aca="false">N49+(25.6-$E$15)+($D$15-0.5*$F$18-29.4)</f>
        <v>-0.75</v>
      </c>
      <c r="K49" s="103" t="n">
        <f aca="false">F49*G49*J49</f>
        <v>-0</v>
      </c>
      <c r="M49" s="109" t="n">
        <f aca="false">INDEX(O49:AA49,1,MATCH(MAX($O$64:$AA$64),$O$64:$AA$64,0))</f>
        <v>0</v>
      </c>
      <c r="N49" s="110" t="n">
        <f aca="false">INDEX(O49:AA49,1,MATCH(MAX($O$65:$AA$65),$O$65:$AA$65,0))</f>
        <v>0</v>
      </c>
      <c r="O49" s="108" t="n">
        <f aca="false">VALUES!C$61</f>
        <v>-1.1</v>
      </c>
      <c r="P49" s="108" t="n">
        <f aca="false">VALUES!D$61</f>
        <v>-1.1</v>
      </c>
      <c r="Q49" s="108" t="n">
        <f aca="false">VALUES!E$61</f>
        <v>0</v>
      </c>
      <c r="R49" s="108" t="n">
        <f aca="false">VALUES!F$61</f>
        <v>1.1</v>
      </c>
      <c r="S49" s="108" t="n">
        <f aca="false">VALUES!G$61</f>
        <v>2.2</v>
      </c>
      <c r="T49" s="108" t="n">
        <f aca="false">VALUES!H$61</f>
        <v>3.9</v>
      </c>
      <c r="U49" s="108" t="n">
        <f aca="false">VALUES!I$61</f>
        <v>5</v>
      </c>
      <c r="V49" s="108" t="n">
        <f aca="false">VALUES!J$61</f>
        <v>6.7</v>
      </c>
      <c r="W49" s="108" t="n">
        <f aca="false">VALUES!K$61</f>
        <v>7.2</v>
      </c>
      <c r="X49" s="108" t="n">
        <f aca="false">VALUES!L$61</f>
        <v>7.8</v>
      </c>
      <c r="Y49" s="108" t="n">
        <f aca="false">VALUES!M$61</f>
        <v>7.8</v>
      </c>
      <c r="Z49" s="108" t="n">
        <f aca="false">VALUES!N$61</f>
        <v>7.2</v>
      </c>
      <c r="AA49" s="108" t="n">
        <f aca="false">VALUES!O$61</f>
        <v>6.7</v>
      </c>
    </row>
    <row r="50" customFormat="false" ht="13.05" hidden="false" customHeight="true" outlineLevel="0" collapsed="false">
      <c r="A50" s="79" t="n">
        <v>23</v>
      </c>
      <c r="B50" s="82" t="s">
        <v>154</v>
      </c>
      <c r="C50" s="82"/>
      <c r="D50" s="82"/>
      <c r="E50" s="82"/>
      <c r="F50" s="87"/>
      <c r="G50" s="87"/>
      <c r="H50" s="87"/>
      <c r="I50" s="103" t="n">
        <f aca="false">F50*G50*H50</f>
        <v>0</v>
      </c>
      <c r="J50" s="87"/>
      <c r="K50" s="103" t="n">
        <f aca="false">F50*G50*J50</f>
        <v>0</v>
      </c>
      <c r="L50" s="72"/>
      <c r="M50" s="111"/>
      <c r="N50" s="111"/>
    </row>
    <row r="51" s="117" customFormat="true" ht="13.05" hidden="false" customHeight="true" outlineLevel="0" collapsed="false">
      <c r="A51" s="112" t="s">
        <v>22</v>
      </c>
      <c r="B51" s="113" t="s">
        <v>155</v>
      </c>
      <c r="C51" s="113"/>
      <c r="D51" s="113"/>
      <c r="E51" s="113"/>
      <c r="F51" s="112"/>
      <c r="G51" s="112"/>
      <c r="H51" s="112"/>
      <c r="I51" s="114" t="n">
        <f aca="false">SUM(I28:I50)</f>
        <v>2965.917059</v>
      </c>
      <c r="J51" s="112"/>
      <c r="K51" s="114" t="n">
        <f aca="false">SUM(K28:K50)</f>
        <v>1653.391985</v>
      </c>
      <c r="L51" s="115"/>
      <c r="M51" s="116"/>
      <c r="N51" s="116"/>
      <c r="AMJ51" s="71"/>
    </row>
    <row r="52" s="117" customFormat="true" ht="12.8" hidden="false" customHeight="false" outlineLevel="0" collapsed="false">
      <c r="M52" s="116"/>
      <c r="N52" s="116"/>
    </row>
    <row r="53" customFormat="false" ht="13.05" hidden="false" customHeight="true" outlineLevel="0" collapsed="false">
      <c r="A53" s="101" t="s">
        <v>156</v>
      </c>
      <c r="B53" s="72"/>
      <c r="C53" s="72"/>
      <c r="D53" s="72"/>
      <c r="E53" s="72"/>
      <c r="F53" s="118" t="s">
        <v>97</v>
      </c>
      <c r="G53" s="118"/>
      <c r="H53" s="118"/>
      <c r="I53" s="119" t="s">
        <v>107</v>
      </c>
      <c r="J53" s="119"/>
      <c r="K53" s="119"/>
      <c r="L53" s="105"/>
      <c r="M53" s="120"/>
      <c r="N53" s="121"/>
    </row>
    <row r="54" customFormat="false" ht="35.4" hidden="false" customHeight="true" outlineLevel="0" collapsed="false">
      <c r="A54" s="118" t="s">
        <v>157</v>
      </c>
      <c r="B54" s="118" t="s">
        <v>121</v>
      </c>
      <c r="C54" s="118"/>
      <c r="D54" s="118" t="s">
        <v>158</v>
      </c>
      <c r="E54" s="118" t="s">
        <v>159</v>
      </c>
      <c r="F54" s="118" t="s">
        <v>160</v>
      </c>
      <c r="G54" s="118" t="s">
        <v>161</v>
      </c>
      <c r="H54" s="118" t="s">
        <v>162</v>
      </c>
      <c r="I54" s="118" t="s">
        <v>160</v>
      </c>
      <c r="J54" s="118" t="s">
        <v>161</v>
      </c>
      <c r="K54" s="118" t="s">
        <v>162</v>
      </c>
      <c r="L54" s="122" t="s">
        <v>163</v>
      </c>
      <c r="M54" s="123" t="n">
        <f aca="false">INDEX(O54:AA54,1,MATCH(MAX($O$64:$AA$64),$O$64:$AA$64,0))</f>
        <v>8</v>
      </c>
      <c r="N54" s="123" t="n">
        <f aca="false">INDEX(O54:AA54,1,MATCH(MAX($O$65:$AA$65),$O$65:$AA$65,0))</f>
        <v>8</v>
      </c>
      <c r="O54" s="104" t="n">
        <f aca="false">VALUES!$C$21</f>
        <v>6</v>
      </c>
      <c r="P54" s="104" t="n">
        <f aca="false">VALUES!$D$21</f>
        <v>7</v>
      </c>
      <c r="Q54" s="104" t="n">
        <f aca="false">VALUES!$E$21</f>
        <v>8</v>
      </c>
      <c r="R54" s="104" t="n">
        <f aca="false">VALUES!$F$21</f>
        <v>9</v>
      </c>
      <c r="S54" s="104" t="n">
        <f aca="false">VALUES!$G$21</f>
        <v>10</v>
      </c>
      <c r="T54" s="104" t="n">
        <f aca="false">VALUES!$H$21</f>
        <v>11</v>
      </c>
      <c r="U54" s="104" t="n">
        <f aca="false">VALUES!$I$21</f>
        <v>12</v>
      </c>
      <c r="V54" s="104" t="n">
        <f aca="false">VALUES!$J$21</f>
        <v>13</v>
      </c>
      <c r="W54" s="104" t="n">
        <f aca="false">VALUES!$K$21</f>
        <v>14</v>
      </c>
      <c r="X54" s="104" t="n">
        <f aca="false">VALUES!$L$21</f>
        <v>15</v>
      </c>
      <c r="Y54" s="104" t="n">
        <f aca="false">VALUES!$M$21</f>
        <v>16</v>
      </c>
      <c r="Z54" s="104" t="n">
        <f aca="false">VALUES!$N$21</f>
        <v>17</v>
      </c>
      <c r="AA54" s="104" t="n">
        <f aca="false">VALUES!$O$21</f>
        <v>18</v>
      </c>
    </row>
    <row r="55" customFormat="false" ht="13.05" hidden="false" customHeight="true" outlineLevel="0" collapsed="false">
      <c r="A55" s="79" t="n">
        <v>1</v>
      </c>
      <c r="B55" s="124" t="s">
        <v>140</v>
      </c>
      <c r="C55" s="124"/>
      <c r="D55" s="79" t="n">
        <f aca="false">F36</f>
        <v>0</v>
      </c>
      <c r="E55" s="87" t="n">
        <v>0.7</v>
      </c>
      <c r="F55" s="102" t="n">
        <f aca="false">M55</f>
        <v>0.65</v>
      </c>
      <c r="G55" s="79" t="n">
        <f aca="false">VALUES!$D$8</f>
        <v>237</v>
      </c>
      <c r="H55" s="125" t="n">
        <f aca="false">D55*G55*E55*F55</f>
        <v>0</v>
      </c>
      <c r="I55" s="102" t="n">
        <f aca="false">N55</f>
        <v>0.65</v>
      </c>
      <c r="J55" s="79" t="n">
        <f aca="false">VALUES!$F$8</f>
        <v>101</v>
      </c>
      <c r="K55" s="103" t="n">
        <f aca="false">D55*E55*I55*J55</f>
        <v>0</v>
      </c>
      <c r="L55" s="105"/>
      <c r="M55" s="109" t="n">
        <f aca="false">INDEX(O55:AA55,1,MATCH(MAX($O$64:$AA$64),$O$64:$AA$64,0))</f>
        <v>0.65</v>
      </c>
      <c r="N55" s="106" t="n">
        <f aca="false">INDEX(O55:AA55,1,MATCH(MAX($O$65:$AA$65),$O$65:$AA$65,0))</f>
        <v>0.65</v>
      </c>
      <c r="O55" s="70" t="n">
        <f aca="false">VALUES!$C$23</f>
        <v>0.73</v>
      </c>
      <c r="P55" s="70" t="n">
        <f aca="false">VALUES!$D$23</f>
        <v>0.66</v>
      </c>
      <c r="Q55" s="70" t="n">
        <f aca="false">VALUES!$E$23</f>
        <v>0.65</v>
      </c>
      <c r="R55" s="70" t="n">
        <f aca="false">VALUES!$F$23</f>
        <v>0.73</v>
      </c>
      <c r="S55" s="70" t="n">
        <f aca="false">VALUES!$G$23</f>
        <v>0.8</v>
      </c>
      <c r="T55" s="70" t="n">
        <f aca="false">VALUES!$H$23</f>
        <v>0.86</v>
      </c>
      <c r="U55" s="70" t="n">
        <f aca="false">VALUES!$I$23</f>
        <v>0.89</v>
      </c>
      <c r="V55" s="70" t="n">
        <f aca="false">VALUES!$J$23</f>
        <v>0.89</v>
      </c>
      <c r="W55" s="70" t="n">
        <f aca="false">VALUES!$K$23</f>
        <v>0.86</v>
      </c>
      <c r="X55" s="70" t="n">
        <f aca="false">VALUES!$L$23</f>
        <v>0.82</v>
      </c>
      <c r="Y55" s="70" t="n">
        <f aca="false">VALUES!$M$23</f>
        <v>0.75</v>
      </c>
      <c r="Z55" s="70" t="n">
        <f aca="false">VALUES!$N$23</f>
        <v>0.78</v>
      </c>
      <c r="AA55" s="70" t="n">
        <f aca="false">VALUES!$O$23</f>
        <v>0.91</v>
      </c>
    </row>
    <row r="56" customFormat="false" ht="13.05" hidden="false" customHeight="true" outlineLevel="0" collapsed="false">
      <c r="A56" s="79" t="n">
        <v>2</v>
      </c>
      <c r="B56" s="124" t="s">
        <v>141</v>
      </c>
      <c r="C56" s="124"/>
      <c r="D56" s="79" t="n">
        <f aca="false">F37</f>
        <v>0</v>
      </c>
      <c r="E56" s="87" t="n">
        <v>0.7</v>
      </c>
      <c r="F56" s="102" t="n">
        <f aca="false">M56</f>
        <v>0.74</v>
      </c>
      <c r="G56" s="79" t="n">
        <f aca="false">VALUES!$D$9</f>
        <v>625</v>
      </c>
      <c r="H56" s="103" t="n">
        <f aca="false">D56*G56*E56*F56</f>
        <v>0</v>
      </c>
      <c r="I56" s="102" t="n">
        <f aca="false">N56</f>
        <v>0.74</v>
      </c>
      <c r="J56" s="79" t="n">
        <f aca="false">VALUES!$F$9</f>
        <v>199</v>
      </c>
      <c r="K56" s="103" t="n">
        <f aca="false">D56*E56*I56*J56</f>
        <v>0</v>
      </c>
      <c r="L56" s="105"/>
      <c r="M56" s="109" t="n">
        <f aca="false">INDEX(O56:AA56,1,MATCH(MAX($O$64:$AA$64),$O$64:$AA$64,0))</f>
        <v>0.74</v>
      </c>
      <c r="N56" s="109" t="n">
        <f aca="false">INDEX(O56:AA56,1,MATCH(MAX($O$65:$AA$65),$O$65:$AA$65,0))</f>
        <v>0.74</v>
      </c>
      <c r="O56" s="70" t="n">
        <f aca="false">VALUES!$C$24</f>
        <v>0.56</v>
      </c>
      <c r="P56" s="70" t="n">
        <f aca="false">VALUES!$D$24</f>
        <v>0.76</v>
      </c>
      <c r="Q56" s="70" t="n">
        <f aca="false">VALUES!$E$24</f>
        <v>0.74</v>
      </c>
      <c r="R56" s="70" t="n">
        <f aca="false">VALUES!$F$24</f>
        <v>0.58</v>
      </c>
      <c r="S56" s="70" t="n">
        <f aca="false">VALUES!$G$24</f>
        <v>0.37</v>
      </c>
      <c r="T56" s="70" t="n">
        <f aca="false">VALUES!$H$24</f>
        <v>0.29</v>
      </c>
      <c r="U56" s="70" t="n">
        <f aca="false">VALUES!$I$24</f>
        <v>0.27</v>
      </c>
      <c r="V56" s="70" t="n">
        <f aca="false">VALUES!$J$24</f>
        <v>0.26</v>
      </c>
      <c r="W56" s="70" t="n">
        <f aca="false">VALUES!$K$24</f>
        <v>0.24</v>
      </c>
      <c r="X56" s="70" t="n">
        <f aca="false">VALUES!$L$24</f>
        <v>0.22</v>
      </c>
      <c r="Y56" s="70" t="n">
        <f aca="false">VALUES!$M$24</f>
        <v>0.2</v>
      </c>
      <c r="Z56" s="70" t="n">
        <f aca="false">VALUES!$N$24</f>
        <v>0.16</v>
      </c>
      <c r="AA56" s="70" t="n">
        <f aca="false">VALUES!$O$24</f>
        <v>0.12</v>
      </c>
    </row>
    <row r="57" customFormat="false" ht="13.05" hidden="false" customHeight="true" outlineLevel="0" collapsed="false">
      <c r="A57" s="79" t="n">
        <v>3</v>
      </c>
      <c r="B57" s="124" t="s">
        <v>142</v>
      </c>
      <c r="C57" s="124"/>
      <c r="D57" s="79" t="n">
        <f aca="false">F38</f>
        <v>4.662</v>
      </c>
      <c r="E57" s="87" t="n">
        <v>0.7</v>
      </c>
      <c r="F57" s="102" t="n">
        <f aca="false">M57</f>
        <v>0.8</v>
      </c>
      <c r="G57" s="79" t="n">
        <f aca="false">VALUES!$D$10</f>
        <v>644</v>
      </c>
      <c r="H57" s="103" t="n">
        <f aca="false">D57*G57*E57*F57</f>
        <v>1681.30368</v>
      </c>
      <c r="I57" s="102" t="n">
        <f aca="false">N57</f>
        <v>0.8</v>
      </c>
      <c r="J57" s="79" t="n">
        <f aca="false">VALUES!$F$10</f>
        <v>675</v>
      </c>
      <c r="K57" s="103" t="n">
        <f aca="false">D57*E57*I57*J57</f>
        <v>1762.236</v>
      </c>
      <c r="L57" s="105"/>
      <c r="M57" s="109" t="n">
        <f aca="false">INDEX(O57:AA57,1,MATCH(MAX($O$64:$AA$64),$O$64:$AA$64,0))</f>
        <v>0.8</v>
      </c>
      <c r="N57" s="109" t="n">
        <f aca="false">INDEX(O57:AA57,1,MATCH(MAX($O$65:$AA$65),$O$65:$AA$65,0))</f>
        <v>0.8</v>
      </c>
      <c r="O57" s="70" t="n">
        <f aca="false">VALUES!$C$25</f>
        <v>0.47</v>
      </c>
      <c r="P57" s="70" t="n">
        <f aca="false">VALUES!$D$25</f>
        <v>0.72</v>
      </c>
      <c r="Q57" s="70" t="n">
        <f aca="false">VALUES!$E$25</f>
        <v>0.8</v>
      </c>
      <c r="R57" s="70" t="n">
        <f aca="false">VALUES!$F$25</f>
        <v>0.76</v>
      </c>
      <c r="S57" s="70" t="n">
        <f aca="false">VALUES!$G$25</f>
        <v>0.62</v>
      </c>
      <c r="T57" s="70" t="n">
        <f aca="false">VALUES!$H$25</f>
        <v>0.41</v>
      </c>
      <c r="U57" s="70" t="n">
        <f aca="false">VALUES!$I$25</f>
        <v>0.27</v>
      </c>
      <c r="V57" s="70" t="n">
        <f aca="false">VALUES!$J$25</f>
        <v>0.26</v>
      </c>
      <c r="W57" s="70" t="n">
        <f aca="false">VALUES!$K$25</f>
        <v>0.24</v>
      </c>
      <c r="X57" s="70" t="n">
        <f aca="false">VALUES!$L$25</f>
        <v>0.22</v>
      </c>
      <c r="Y57" s="70" t="n">
        <f aca="false">VALUES!$M$25</f>
        <v>0.2</v>
      </c>
      <c r="Z57" s="70" t="n">
        <f aca="false">VALUES!$N$25</f>
        <v>0.16</v>
      </c>
      <c r="AA57" s="70" t="n">
        <f aca="false">VALUES!$O$25</f>
        <v>0.12</v>
      </c>
    </row>
    <row r="58" customFormat="false" ht="13.05" hidden="false" customHeight="true" outlineLevel="0" collapsed="false">
      <c r="A58" s="79" t="n">
        <v>4</v>
      </c>
      <c r="B58" s="124" t="s">
        <v>143</v>
      </c>
      <c r="C58" s="124"/>
      <c r="D58" s="79" t="n">
        <f aca="false">F39</f>
        <v>0</v>
      </c>
      <c r="E58" s="87" t="n">
        <v>0.7</v>
      </c>
      <c r="F58" s="102" t="n">
        <f aca="false">M58</f>
        <v>0.74</v>
      </c>
      <c r="G58" s="79" t="n">
        <f aca="false">VALUES!$D$11</f>
        <v>284</v>
      </c>
      <c r="H58" s="103" t="n">
        <f aca="false">D58*G58*E58*F58</f>
        <v>0</v>
      </c>
      <c r="I58" s="102" t="n">
        <f aca="false">N58</f>
        <v>0.74</v>
      </c>
      <c r="J58" s="79" t="n">
        <f aca="false">VALUES!$F$11</f>
        <v>767</v>
      </c>
      <c r="K58" s="103" t="n">
        <f aca="false">D58*E58*I58*J58</f>
        <v>0</v>
      </c>
      <c r="L58" s="105"/>
      <c r="M58" s="109" t="n">
        <f aca="false">INDEX(O58:AA58,1,MATCH(MAX($O$64:$AA$64),$O$64:$AA$64,0))</f>
        <v>0.74</v>
      </c>
      <c r="N58" s="109" t="n">
        <f aca="false">INDEX(O58:AA58,1,MATCH(MAX($O$65:$AA$65),$O$65:$AA$65,0))</f>
        <v>0.74</v>
      </c>
      <c r="O58" s="70" t="n">
        <f aca="false">VALUES!$C$26</f>
        <v>0.3</v>
      </c>
      <c r="P58" s="70" t="n">
        <f aca="false">VALUES!$D$26</f>
        <v>0.57</v>
      </c>
      <c r="Q58" s="70" t="n">
        <f aca="false">VALUES!$E$26</f>
        <v>0.74</v>
      </c>
      <c r="R58" s="70" t="n">
        <f aca="false">VALUES!$F$26</f>
        <v>0.81</v>
      </c>
      <c r="S58" s="70" t="n">
        <f aca="false">VALUES!$G$26</f>
        <v>0.79</v>
      </c>
      <c r="T58" s="70" t="n">
        <f aca="false">VALUES!$H$26</f>
        <v>0.68</v>
      </c>
      <c r="U58" s="70" t="n">
        <f aca="false">VALUES!$I$26</f>
        <v>0.49</v>
      </c>
      <c r="V58" s="70" t="n">
        <f aca="false">VALUES!$J$26</f>
        <v>0.33</v>
      </c>
      <c r="W58" s="70" t="n">
        <f aca="false">VALUES!$K$26</f>
        <v>0.28</v>
      </c>
      <c r="X58" s="70" t="n">
        <f aca="false">VALUES!$L$26</f>
        <v>0.25</v>
      </c>
      <c r="Y58" s="70" t="n">
        <f aca="false">VALUES!$M$26</f>
        <v>0.22</v>
      </c>
      <c r="Z58" s="70" t="n">
        <f aca="false">VALUES!$N$26</f>
        <v>0.18</v>
      </c>
      <c r="AA58" s="70" t="n">
        <f aca="false">VALUES!$O$26</f>
        <v>0.13</v>
      </c>
    </row>
    <row r="59" customFormat="false" ht="13.05" hidden="false" customHeight="true" outlineLevel="0" collapsed="false">
      <c r="A59" s="79" t="n">
        <v>5</v>
      </c>
      <c r="B59" s="124" t="s">
        <v>144</v>
      </c>
      <c r="C59" s="124"/>
      <c r="D59" s="79" t="n">
        <f aca="false">F40</f>
        <v>0</v>
      </c>
      <c r="E59" s="87" t="n">
        <v>0.7</v>
      </c>
      <c r="F59" s="102" t="n">
        <f aca="false">M59</f>
        <v>0.23</v>
      </c>
      <c r="G59" s="79" t="n">
        <f aca="false">VALUES!$D$12</f>
        <v>126</v>
      </c>
      <c r="H59" s="103" t="n">
        <f aca="false">D59*G59*E59*F59</f>
        <v>0</v>
      </c>
      <c r="I59" s="102" t="n">
        <f aca="false">N59</f>
        <v>0.23</v>
      </c>
      <c r="J59" s="79" t="n">
        <f aca="false">VALUES!$F$12</f>
        <v>565</v>
      </c>
      <c r="K59" s="103" t="n">
        <f aca="false">D59*E59*I59*J59</f>
        <v>0</v>
      </c>
      <c r="L59" s="105"/>
      <c r="M59" s="109" t="n">
        <f aca="false">INDEX(O59:AA59,1,MATCH(MAX($O$64:$AA$64),$O$64:$AA$64,0))</f>
        <v>0.23</v>
      </c>
      <c r="N59" s="109" t="n">
        <f aca="false">INDEX(O59:AA59,1,MATCH(MAX($O$65:$AA$65),$O$65:$AA$65,0))</f>
        <v>0.23</v>
      </c>
      <c r="O59" s="70" t="n">
        <f aca="false">VALUES!$C$27</f>
        <v>0.09</v>
      </c>
      <c r="P59" s="70" t="n">
        <f aca="false">VALUES!$D$27</f>
        <v>0.16</v>
      </c>
      <c r="Q59" s="70" t="n">
        <f aca="false">VALUES!$E$27</f>
        <v>0.23</v>
      </c>
      <c r="R59" s="70" t="n">
        <f aca="false">VALUES!$F$27</f>
        <v>0.38</v>
      </c>
      <c r="S59" s="70" t="n">
        <f aca="false">VALUES!$G$27</f>
        <v>0.58</v>
      </c>
      <c r="T59" s="70" t="n">
        <f aca="false">VALUES!$H$27</f>
        <v>0.75</v>
      </c>
      <c r="U59" s="70" t="n">
        <f aca="false">VALUES!$I$27</f>
        <v>0.83</v>
      </c>
      <c r="V59" s="70" t="n">
        <f aca="false">VALUES!$J$27</f>
        <v>0.8</v>
      </c>
      <c r="W59" s="70" t="n">
        <f aca="false">VALUES!$K$27</f>
        <v>0.68</v>
      </c>
      <c r="X59" s="70" t="n">
        <f aca="false">VALUES!$L$27</f>
        <v>0.5</v>
      </c>
      <c r="Y59" s="70" t="n">
        <f aca="false">VALUES!$M$27</f>
        <v>0.35</v>
      </c>
      <c r="Z59" s="70" t="n">
        <f aca="false">VALUES!$N$27</f>
        <v>0.27</v>
      </c>
      <c r="AA59" s="70" t="n">
        <f aca="false">VALUES!$O$27</f>
        <v>0.19</v>
      </c>
    </row>
    <row r="60" customFormat="false" ht="13.05" hidden="false" customHeight="true" outlineLevel="0" collapsed="false">
      <c r="A60" s="79" t="n">
        <v>6</v>
      </c>
      <c r="B60" s="124" t="s">
        <v>145</v>
      </c>
      <c r="C60" s="124"/>
      <c r="D60" s="79" t="n">
        <f aca="false">F41</f>
        <v>0</v>
      </c>
      <c r="E60" s="87" t="n">
        <v>0.7</v>
      </c>
      <c r="F60" s="102" t="n">
        <f aca="false">M60</f>
        <v>0.14</v>
      </c>
      <c r="G60" s="79" t="n">
        <f aca="false">VALUES!$D$13</f>
        <v>284</v>
      </c>
      <c r="H60" s="103" t="n">
        <f aca="false">D60*G60*E60*F60</f>
        <v>0</v>
      </c>
      <c r="I60" s="102" t="n">
        <f aca="false">N60</f>
        <v>0.14</v>
      </c>
      <c r="J60" s="79" t="n">
        <f aca="false">VALUES!$F$13</f>
        <v>767</v>
      </c>
      <c r="K60" s="103" t="n">
        <f aca="false">D60*E60*I60*J60</f>
        <v>0</v>
      </c>
      <c r="L60" s="105"/>
      <c r="M60" s="109" t="n">
        <f aca="false">INDEX(O60:AA60,1,MATCH(MAX($O$64:$AA$64),$O$64:$AA$64,0))</f>
        <v>0.14</v>
      </c>
      <c r="N60" s="109" t="n">
        <f aca="false">INDEX(O60:AA60,1,MATCH(MAX($O$65:$AA$65),$O$65:$AA$65,0))</f>
        <v>0.14</v>
      </c>
      <c r="O60" s="70" t="n">
        <f aca="false">VALUES!$C$28</f>
        <v>0.07</v>
      </c>
      <c r="P60" s="70" t="n">
        <f aca="false">VALUES!$D$28</f>
        <v>0.11</v>
      </c>
      <c r="Q60" s="70" t="n">
        <f aca="false">VALUES!$E$28</f>
        <v>0.14</v>
      </c>
      <c r="R60" s="70" t="n">
        <f aca="false">VALUES!$F$28</f>
        <v>0.16</v>
      </c>
      <c r="S60" s="70" t="n">
        <f aca="false">VALUES!$G$28</f>
        <v>0.19</v>
      </c>
      <c r="T60" s="70" t="n">
        <f aca="false">VALUES!$H$28</f>
        <v>0.22</v>
      </c>
      <c r="U60" s="70" t="n">
        <f aca="false">VALUES!$I$28</f>
        <v>0.38</v>
      </c>
      <c r="V60" s="70" t="n">
        <f aca="false">VALUES!$J$28</f>
        <v>0.59</v>
      </c>
      <c r="W60" s="70" t="n">
        <f aca="false">VALUES!$K$28</f>
        <v>0.75</v>
      </c>
      <c r="X60" s="70" t="n">
        <f aca="false">VALUES!$L$28</f>
        <v>0.83</v>
      </c>
      <c r="Y60" s="70" t="n">
        <f aca="false">VALUES!$M$28</f>
        <v>0.81</v>
      </c>
      <c r="Z60" s="70" t="n">
        <f aca="false">VALUES!$N$28</f>
        <v>0.69</v>
      </c>
      <c r="AA60" s="70" t="n">
        <f aca="false">VALUES!$O$28</f>
        <v>0.45</v>
      </c>
    </row>
    <row r="61" customFormat="false" ht="13.05" hidden="false" customHeight="true" outlineLevel="0" collapsed="false">
      <c r="A61" s="79" t="n">
        <v>7</v>
      </c>
      <c r="B61" s="124" t="s">
        <v>146</v>
      </c>
      <c r="C61" s="124"/>
      <c r="D61" s="79" t="n">
        <f aca="false">F42</f>
        <v>0</v>
      </c>
      <c r="E61" s="87" t="n">
        <v>0.7</v>
      </c>
      <c r="F61" s="102" t="n">
        <f aca="false">M61</f>
        <v>0.11</v>
      </c>
      <c r="G61" s="79" t="n">
        <f aca="false">VALUES!$D$14</f>
        <v>644</v>
      </c>
      <c r="H61" s="103" t="n">
        <f aca="false">D61*G61*E61*F61</f>
        <v>0</v>
      </c>
      <c r="I61" s="102" t="n">
        <f aca="false">N61</f>
        <v>0.11</v>
      </c>
      <c r="J61" s="79" t="n">
        <f aca="false">VALUES!$F$14</f>
        <v>675</v>
      </c>
      <c r="K61" s="103" t="n">
        <f aca="false">D61*E61*I61*J61</f>
        <v>0</v>
      </c>
      <c r="L61" s="105"/>
      <c r="M61" s="109" t="n">
        <f aca="false">INDEX(O61:AA61,1,MATCH(MAX($O$64:$AA$64),$O$64:$AA$64,0))</f>
        <v>0.11</v>
      </c>
      <c r="N61" s="109" t="n">
        <f aca="false">INDEX(O61:AA61,1,MATCH(MAX($O$65:$AA$65),$O$65:$AA$65,0))</f>
        <v>0.11</v>
      </c>
      <c r="O61" s="70" t="n">
        <f aca="false">VALUES!$C$29</f>
        <v>0.06</v>
      </c>
      <c r="P61" s="70" t="n">
        <f aca="false">VALUES!$D$29</f>
        <v>0.09</v>
      </c>
      <c r="Q61" s="70" t="n">
        <f aca="false">VALUES!$E$29</f>
        <v>0.11</v>
      </c>
      <c r="R61" s="70" t="n">
        <f aca="false">VALUES!$F$29</f>
        <v>0.13</v>
      </c>
      <c r="S61" s="70" t="n">
        <f aca="false">VALUES!$G$29</f>
        <v>0.15</v>
      </c>
      <c r="T61" s="70" t="n">
        <f aca="false">VALUES!$H$29</f>
        <v>0.16</v>
      </c>
      <c r="U61" s="70" t="n">
        <f aca="false">VALUES!$I$29</f>
        <v>0.17</v>
      </c>
      <c r="V61" s="70" t="n">
        <f aca="false">VALUES!$J$29</f>
        <v>0.31</v>
      </c>
      <c r="W61" s="70" t="n">
        <f aca="false">VALUES!$K$29</f>
        <v>0.53</v>
      </c>
      <c r="X61" s="70" t="n">
        <f aca="false">VALUES!$L$29</f>
        <v>0.72</v>
      </c>
      <c r="Y61" s="70" t="n">
        <f aca="false">VALUES!$M$29</f>
        <v>0.82</v>
      </c>
      <c r="Z61" s="70" t="n">
        <f aca="false">VALUES!$N$29</f>
        <v>0.81</v>
      </c>
      <c r="AA61" s="70" t="n">
        <f aca="false">VALUES!$O$29</f>
        <v>0.61</v>
      </c>
    </row>
    <row r="62" customFormat="false" ht="13.05" hidden="false" customHeight="true" outlineLevel="0" collapsed="false">
      <c r="A62" s="79" t="n">
        <v>8</v>
      </c>
      <c r="B62" s="124" t="s">
        <v>147</v>
      </c>
      <c r="C62" s="124"/>
      <c r="D62" s="79" t="n">
        <f aca="false">F43</f>
        <v>0</v>
      </c>
      <c r="E62" s="87" t="n">
        <v>0.7</v>
      </c>
      <c r="F62" s="102" t="n">
        <f aca="false">M62</f>
        <v>0.14</v>
      </c>
      <c r="G62" s="79" t="n">
        <f aca="false">VALUES!$D$15</f>
        <v>625</v>
      </c>
      <c r="H62" s="103" t="n">
        <f aca="false">D62*G62*E62*F62</f>
        <v>0</v>
      </c>
      <c r="I62" s="102" t="n">
        <f aca="false">N62</f>
        <v>0.14</v>
      </c>
      <c r="J62" s="79" t="n">
        <f aca="false">VALUES!$F$15</f>
        <v>199</v>
      </c>
      <c r="K62" s="103" t="n">
        <f aca="false">D62*E62*I62*J62</f>
        <v>0</v>
      </c>
      <c r="L62" s="105"/>
      <c r="M62" s="109" t="n">
        <f aca="false">INDEX(O62:AA62,1,MATCH(MAX($O$64:$AA$64),$O$64:$AA$64,0))</f>
        <v>0.14</v>
      </c>
      <c r="N62" s="109" t="n">
        <f aca="false">INDEX(O62:AA62,1,MATCH(MAX($O$65:$AA$65),$O$65:$AA$65,0))</f>
        <v>0.14</v>
      </c>
      <c r="O62" s="70" t="n">
        <f aca="false">VALUES!$C$30</f>
        <v>0.07</v>
      </c>
      <c r="P62" s="70" t="n">
        <f aca="false">VALUES!$D$30</f>
        <v>0.11</v>
      </c>
      <c r="Q62" s="70" t="n">
        <f aca="false">VALUES!$E$30</f>
        <v>0.14</v>
      </c>
      <c r="R62" s="70" t="n">
        <f aca="false">VALUES!$F$30</f>
        <v>0.17</v>
      </c>
      <c r="S62" s="70" t="n">
        <f aca="false">VALUES!$G$30</f>
        <v>0.19</v>
      </c>
      <c r="T62" s="70" t="n">
        <f aca="false">VALUES!$H$30</f>
        <v>0.2</v>
      </c>
      <c r="U62" s="70" t="n">
        <f aca="false">VALUES!$I$30</f>
        <v>0.21</v>
      </c>
      <c r="V62" s="70" t="n">
        <f aca="false">VALUES!$J$30</f>
        <v>0.22</v>
      </c>
      <c r="W62" s="70" t="n">
        <f aca="false">VALUES!$K$30</f>
        <v>0.3</v>
      </c>
      <c r="X62" s="70" t="n">
        <f aca="false">VALUES!$L$30</f>
        <v>0.52</v>
      </c>
      <c r="Y62" s="70" t="n">
        <f aca="false">VALUES!$M$30</f>
        <v>0.73</v>
      </c>
      <c r="Z62" s="70" t="n">
        <f aca="false">VALUES!$N$30</f>
        <v>0.82</v>
      </c>
      <c r="AA62" s="70" t="n">
        <f aca="false">VALUES!$O$30</f>
        <v>0.69</v>
      </c>
    </row>
    <row r="63" customFormat="false" ht="13.05" hidden="false" customHeight="true" outlineLevel="0" collapsed="false">
      <c r="A63" s="79" t="n">
        <v>9</v>
      </c>
      <c r="B63" s="124" t="s">
        <v>164</v>
      </c>
      <c r="C63" s="124"/>
      <c r="D63" s="79" t="n">
        <f aca="false">F49</f>
        <v>0</v>
      </c>
      <c r="E63" s="87" t="n">
        <v>0.6</v>
      </c>
      <c r="F63" s="102" t="n">
        <f aca="false">M63</f>
        <v>0.44</v>
      </c>
      <c r="G63" s="79" t="n">
        <f aca="false">VALUES!$D$16</f>
        <v>864</v>
      </c>
      <c r="H63" s="103" t="n">
        <f aca="false">D63*G63*E63*F63</f>
        <v>0</v>
      </c>
      <c r="I63" s="102" t="n">
        <f aca="false">N63</f>
        <v>0.44</v>
      </c>
      <c r="J63" s="79" t="n">
        <f aca="false">VALUES!$F$16</f>
        <v>820</v>
      </c>
      <c r="K63" s="103" t="n">
        <f aca="false">D63*E63*I63*J63</f>
        <v>0</v>
      </c>
      <c r="L63" s="105"/>
      <c r="M63" s="109" t="n">
        <f aca="false">INDEX(O63:AA63,1,MATCH(MAX($O$64:$AA$64),$O$64:$AA$64,0))</f>
        <v>0.44</v>
      </c>
      <c r="N63" s="109" t="n">
        <f aca="false">INDEX(O63:AA63,1,MATCH(MAX($O$65:$AA$65),$O$65:$AA$65,0))</f>
        <v>0.44</v>
      </c>
      <c r="O63" s="70" t="n">
        <f aca="false">VALUES!$C$31</f>
        <v>0.12</v>
      </c>
      <c r="P63" s="70" t="n">
        <f aca="false">VALUES!$D$31</f>
        <v>0.27</v>
      </c>
      <c r="Q63" s="70" t="n">
        <f aca="false">VALUES!$E$31</f>
        <v>0.44</v>
      </c>
      <c r="R63" s="70" t="n">
        <f aca="false">VALUES!$F$31</f>
        <v>0.59</v>
      </c>
      <c r="S63" s="70" t="n">
        <f aca="false">VALUES!$G$31</f>
        <v>0.72</v>
      </c>
      <c r="T63" s="70" t="n">
        <f aca="false">VALUES!$H$31</f>
        <v>0.81</v>
      </c>
      <c r="U63" s="70" t="n">
        <f aca="false">VALUES!$I$31</f>
        <v>0.85</v>
      </c>
      <c r="V63" s="70" t="n">
        <f aca="false">VALUES!$J$31</f>
        <v>0.85</v>
      </c>
      <c r="W63" s="70" t="n">
        <f aca="false">VALUES!$K$31</f>
        <v>0.81</v>
      </c>
      <c r="X63" s="70" t="n">
        <f aca="false">VALUES!$L$31</f>
        <v>0.71</v>
      </c>
      <c r="Y63" s="70" t="n">
        <f aca="false">VALUES!$M$31</f>
        <v>0.58</v>
      </c>
      <c r="Z63" s="70" t="n">
        <f aca="false">VALUES!$N$31</f>
        <v>0.42</v>
      </c>
      <c r="AA63" s="70" t="n">
        <f aca="false">VALUES!$O$31</f>
        <v>0.25</v>
      </c>
    </row>
    <row r="64" customFormat="false" ht="13.05" hidden="false" customHeight="true" outlineLevel="0" collapsed="false">
      <c r="A64" s="79" t="n">
        <v>10</v>
      </c>
      <c r="B64" s="124" t="s">
        <v>154</v>
      </c>
      <c r="C64" s="124"/>
      <c r="D64" s="87"/>
      <c r="E64" s="87"/>
      <c r="F64" s="87"/>
      <c r="G64" s="87"/>
      <c r="H64" s="103" t="n">
        <f aca="false">D64*G64*E64*F64</f>
        <v>0</v>
      </c>
      <c r="I64" s="87"/>
      <c r="J64" s="87"/>
      <c r="K64" s="103" t="n">
        <f aca="false">D64*E64*I64*J64</f>
        <v>0</v>
      </c>
      <c r="L64" s="105"/>
      <c r="M64" s="123" t="n">
        <f aca="false">INDEX(O64:AA64,1,MATCH(MAX($O$64:$AA$64),$O$64:$AA$64,0))</f>
        <v>1681.30368</v>
      </c>
      <c r="N64" s="121"/>
      <c r="O64" s="126" t="n">
        <f aca="false">SUMPRODUCT(O55:O63, $E$55:$E$63, $D$55:$D$63, $G$55:$G$63)</f>
        <v>987.765912</v>
      </c>
      <c r="P64" s="126" t="n">
        <f aca="false">SUMPRODUCT(P55:P63, $E$55:$E$63, $D$55:$D$63, $G$55:$G$63)</f>
        <v>1513.173312</v>
      </c>
      <c r="Q64" s="126" t="n">
        <f aca="false">SUMPRODUCT(Q55:Q63, $E$55:$E$63, $D$55:$D$63, $G$55:$G$63)</f>
        <v>1681.30368</v>
      </c>
      <c r="R64" s="126" t="n">
        <f aca="false">SUMPRODUCT(R55:R63, $E$55:$E$63, $D$55:$D$63, $G$55:$G$63)</f>
        <v>1597.238496</v>
      </c>
      <c r="S64" s="126" t="n">
        <f aca="false">SUMPRODUCT(S55:S63, $E$55:$E$63, $D$55:$D$63, $G$55:$G$63)</f>
        <v>1303.010352</v>
      </c>
      <c r="T64" s="126" t="n">
        <f aca="false">SUMPRODUCT(T55:T63, $E$55:$E$63, $D$55:$D$63, $G$55:$G$63)</f>
        <v>861.668136</v>
      </c>
      <c r="U64" s="126" t="n">
        <f aca="false">SUMPRODUCT(U55:U63, $E$55:$E$63, $D$55:$D$63, $G$55:$G$63)</f>
        <v>567.439992</v>
      </c>
      <c r="V64" s="126" t="n">
        <f aca="false">SUMPRODUCT(V55:V63, $E$55:$E$63, $D$55:$D$63, $G$55:$G$63)</f>
        <v>546.423696</v>
      </c>
      <c r="W64" s="126" t="n">
        <f aca="false">SUMPRODUCT(W55:W63, $E$55:$E$63, $D$55:$D$63, $G$55:$G$63)</f>
        <v>504.391104</v>
      </c>
      <c r="X64" s="126" t="n">
        <f aca="false">SUMPRODUCT(X55:X63, $E$55:$E$63, $D$55:$D$63, $G$55:$G$63)</f>
        <v>462.358512</v>
      </c>
      <c r="Y64" s="126" t="n">
        <f aca="false">SUMPRODUCT(Y55:Y63, $E$55:$E$63, $D$55:$D$63, $G$55:$G$63)</f>
        <v>420.32592</v>
      </c>
      <c r="Z64" s="126" t="n">
        <f aca="false">SUMPRODUCT(Z55:Z63, $E$55:$E$63, $D$55:$D$63, $G$55:$G$63)</f>
        <v>336.260736</v>
      </c>
      <c r="AA64" s="126" t="n">
        <f aca="false">SUMPRODUCT(AA55:AA63, $E$55:$E$63, $D$55:$D$63, $G$55:$G$63)</f>
        <v>252.195552</v>
      </c>
    </row>
    <row r="65" s="117" customFormat="true" ht="24.25" hidden="false" customHeight="true" outlineLevel="0" collapsed="false">
      <c r="A65" s="112" t="s">
        <v>4</v>
      </c>
      <c r="B65" s="127" t="s">
        <v>165</v>
      </c>
      <c r="C65" s="127"/>
      <c r="D65" s="112"/>
      <c r="E65" s="128"/>
      <c r="F65" s="112"/>
      <c r="G65" s="112"/>
      <c r="H65" s="114" t="n">
        <f aca="false">SUM(H55:H64)</f>
        <v>1681.30368</v>
      </c>
      <c r="I65" s="112"/>
      <c r="J65" s="112"/>
      <c r="K65" s="114" t="n">
        <f aca="false">SUM(K55:K64)</f>
        <v>1762.236</v>
      </c>
      <c r="L65" s="105"/>
      <c r="M65" s="115"/>
      <c r="N65" s="123" t="n">
        <f aca="false">INDEX(O65:AA65,1,MATCH(MAX($O$65:$AA$65),$O$65:$AA$65,0))</f>
        <v>1762.236</v>
      </c>
      <c r="O65" s="126" t="n">
        <f aca="false">SUMPRODUCT(O55:O63, $E$55:$E$63, $D$55:$D$63, $J$55:$J$63)</f>
        <v>1035.31365</v>
      </c>
      <c r="P65" s="126" t="n">
        <f aca="false">SUMPRODUCT(P55:P63, $E$55:$E$63, $D$55:$D$63, $J$55:$J$63)</f>
        <v>1586.0124</v>
      </c>
      <c r="Q65" s="126" t="n">
        <f aca="false">SUMPRODUCT(Q55:Q63, $E$55:$E$63, $D$55:$D$63, $J$55:$J$63)</f>
        <v>1762.236</v>
      </c>
      <c r="R65" s="126" t="n">
        <f aca="false">SUMPRODUCT(R55:R63, $E$55:$E$63, $D$55:$D$63, $J$55:$J$63)</f>
        <v>1674.1242</v>
      </c>
      <c r="S65" s="126" t="n">
        <f aca="false">SUMPRODUCT(S55:S63, $E$55:$E$63, $D$55:$D$63, $J$55:$J$63)</f>
        <v>1365.7329</v>
      </c>
      <c r="T65" s="126" t="n">
        <f aca="false">SUMPRODUCT(T55:T63, $E$55:$E$63, $D$55:$D$63, $J$55:$J$63)</f>
        <v>903.14595</v>
      </c>
      <c r="U65" s="126" t="n">
        <f aca="false">SUMPRODUCT(U55:U63, $E$55:$E$63, $D$55:$D$63, $J$55:$J$63)</f>
        <v>594.75465</v>
      </c>
      <c r="V65" s="126" t="n">
        <f aca="false">SUMPRODUCT(V55:V63, $E$55:$E$63, $D$55:$D$63, $J$55:$J$63)</f>
        <v>572.7267</v>
      </c>
      <c r="W65" s="126" t="n">
        <f aca="false">SUMPRODUCT(W55:W63, $E$55:$E$63, $D$55:$D$63, $J$55:$J$63)</f>
        <v>528.6708</v>
      </c>
      <c r="X65" s="126" t="n">
        <f aca="false">SUMPRODUCT(X55:X63, $E$55:$E$63, $D$55:$D$63, $J$55:$J$63)</f>
        <v>484.6149</v>
      </c>
      <c r="Y65" s="126" t="n">
        <f aca="false">SUMPRODUCT(Y55:Y63, $E$55:$E$63, $D$55:$D$63, $J$55:$J$63)</f>
        <v>440.559</v>
      </c>
      <c r="Z65" s="126" t="n">
        <f aca="false">SUMPRODUCT(Z55:Z63, $E$55:$E$63, $D$55:$D$63, $J$55:$J$63)</f>
        <v>352.4472</v>
      </c>
      <c r="AA65" s="126" t="n">
        <f aca="false">SUMPRODUCT(AA55:AA63, $E$55:$E$63, $D$55:$D$63, $J$55:$J$63)</f>
        <v>264.3354</v>
      </c>
      <c r="AMJ65" s="71"/>
    </row>
    <row r="66" s="117" customFormat="true" ht="12.8" hidden="false" customHeight="false" outlineLevel="0" collapsed="false"/>
    <row r="67" customFormat="false" ht="13.05" hidden="false" customHeight="false" outlineLevel="0" collapsed="false">
      <c r="A67" s="101" t="s">
        <v>166</v>
      </c>
      <c r="B67" s="76"/>
      <c r="C67" s="76"/>
      <c r="D67" s="76"/>
      <c r="E67" s="76"/>
      <c r="F67" s="79" t="s">
        <v>167</v>
      </c>
      <c r="G67" s="79" t="s">
        <v>168</v>
      </c>
      <c r="H67" s="79" t="s">
        <v>169</v>
      </c>
      <c r="L67" s="72"/>
      <c r="M67" s="72"/>
      <c r="N67" s="72"/>
    </row>
    <row r="68" customFormat="false" ht="12.8" hidden="false" customHeight="false" outlineLevel="0" collapsed="false">
      <c r="A68" s="79" t="n">
        <v>1</v>
      </c>
      <c r="B68" s="79" t="s">
        <v>170</v>
      </c>
      <c r="C68" s="87" t="n">
        <v>3</v>
      </c>
      <c r="D68" s="79" t="s">
        <v>171</v>
      </c>
      <c r="E68" s="87" t="n">
        <v>60</v>
      </c>
      <c r="F68" s="87" t="n">
        <v>1</v>
      </c>
      <c r="G68" s="103" t="n">
        <f aca="false">C68*E68*F68</f>
        <v>180</v>
      </c>
      <c r="H68" s="129"/>
      <c r="L68" s="72"/>
      <c r="M68" s="72"/>
      <c r="N68" s="72"/>
    </row>
    <row r="69" customFormat="false" ht="12.8" hidden="false" customHeight="false" outlineLevel="0" collapsed="false">
      <c r="A69" s="79" t="n">
        <v>2</v>
      </c>
      <c r="B69" s="79" t="s">
        <v>170</v>
      </c>
      <c r="C69" s="87" t="n">
        <v>3</v>
      </c>
      <c r="D69" s="79" t="s">
        <v>171</v>
      </c>
      <c r="E69" s="87" t="n">
        <v>70</v>
      </c>
      <c r="F69" s="80"/>
      <c r="G69" s="129"/>
      <c r="H69" s="103" t="n">
        <f aca="false">C69*E69</f>
        <v>210</v>
      </c>
      <c r="L69" s="72"/>
      <c r="M69" s="72"/>
      <c r="N69" s="72"/>
    </row>
    <row r="70" customFormat="false" ht="13.05" hidden="false" customHeight="true" outlineLevel="0" collapsed="false">
      <c r="A70" s="112" t="s">
        <v>46</v>
      </c>
      <c r="B70" s="127" t="s">
        <v>172</v>
      </c>
      <c r="C70" s="127"/>
      <c r="D70" s="127"/>
      <c r="E70" s="127"/>
      <c r="F70" s="127"/>
      <c r="G70" s="114" t="n">
        <f aca="false">SUM(G68:G69)</f>
        <v>180</v>
      </c>
      <c r="H70" s="114" t="n">
        <f aca="false">SUM(H68:H69)</f>
        <v>210</v>
      </c>
      <c r="L70" s="72"/>
      <c r="M70" s="72"/>
      <c r="N70" s="72"/>
    </row>
    <row r="71" s="117" customFormat="true" ht="12.8" hidden="false" customHeight="false" outlineLevel="0" collapsed="false"/>
    <row r="72" customFormat="false" ht="35.4" hidden="false" customHeight="false" outlineLevel="0" collapsed="false">
      <c r="A72" s="101" t="s">
        <v>173</v>
      </c>
      <c r="B72" s="101"/>
      <c r="C72" s="101"/>
      <c r="D72" s="101"/>
      <c r="E72" s="101"/>
      <c r="F72" s="79" t="s">
        <v>174</v>
      </c>
      <c r="G72" s="79" t="s">
        <v>167</v>
      </c>
      <c r="H72" s="79" t="s">
        <v>168</v>
      </c>
      <c r="I72" s="79" t="s">
        <v>169</v>
      </c>
      <c r="L72" s="72"/>
      <c r="M72" s="72"/>
      <c r="N72" s="72"/>
    </row>
    <row r="73" customFormat="false" ht="12.8" hidden="false" customHeight="false" outlineLevel="0" collapsed="false">
      <c r="A73" s="79" t="n">
        <v>1</v>
      </c>
      <c r="B73" s="80" t="s">
        <v>175</v>
      </c>
      <c r="C73" s="87"/>
      <c r="D73" s="79" t="s">
        <v>171</v>
      </c>
      <c r="E73" s="87" t="n">
        <v>20</v>
      </c>
      <c r="F73" s="87" t="n">
        <v>1</v>
      </c>
      <c r="G73" s="87" t="n">
        <v>1</v>
      </c>
      <c r="H73" s="103" t="n">
        <f aca="false">C73*E73*F73*G73</f>
        <v>0</v>
      </c>
      <c r="I73" s="129"/>
      <c r="L73" s="72"/>
      <c r="M73" s="72"/>
      <c r="N73" s="72"/>
    </row>
    <row r="74" customFormat="false" ht="13.05" hidden="false" customHeight="false" outlineLevel="0" collapsed="false">
      <c r="A74" s="79" t="n">
        <v>2</v>
      </c>
      <c r="B74" s="82" t="s">
        <v>176</v>
      </c>
      <c r="C74" s="87"/>
      <c r="D74" s="79" t="s">
        <v>171</v>
      </c>
      <c r="E74" s="87" t="n">
        <v>100</v>
      </c>
      <c r="F74" s="87" t="n">
        <v>0.4</v>
      </c>
      <c r="G74" s="87" t="n">
        <v>1</v>
      </c>
      <c r="H74" s="103" t="n">
        <f aca="false">C74*E74*F74*G74</f>
        <v>0</v>
      </c>
      <c r="I74" s="129"/>
      <c r="L74" s="72"/>
      <c r="M74" s="72"/>
      <c r="N74" s="72"/>
    </row>
    <row r="75" customFormat="false" ht="13.05" hidden="false" customHeight="false" outlineLevel="0" collapsed="false">
      <c r="A75" s="79" t="n">
        <v>3</v>
      </c>
      <c r="B75" s="82" t="s">
        <v>177</v>
      </c>
      <c r="C75" s="87"/>
      <c r="D75" s="79" t="s">
        <v>171</v>
      </c>
      <c r="E75" s="87" t="n">
        <v>1000</v>
      </c>
      <c r="F75" s="87" t="n">
        <v>0.4</v>
      </c>
      <c r="G75" s="87" t="n">
        <v>1</v>
      </c>
      <c r="H75" s="103" t="n">
        <f aca="false">C75*E75*F75*G75</f>
        <v>0</v>
      </c>
      <c r="I75" s="129"/>
      <c r="L75" s="72"/>
      <c r="M75" s="72"/>
      <c r="N75" s="72"/>
    </row>
    <row r="76" customFormat="false" ht="23.85" hidden="false" customHeight="false" outlineLevel="0" collapsed="false">
      <c r="A76" s="79" t="n">
        <v>4</v>
      </c>
      <c r="B76" s="82" t="s">
        <v>178</v>
      </c>
      <c r="C76" s="87"/>
      <c r="D76" s="87"/>
      <c r="E76" s="87"/>
      <c r="F76" s="87" t="n">
        <v>1</v>
      </c>
      <c r="G76" s="87" t="n">
        <v>1</v>
      </c>
      <c r="H76" s="103" t="n">
        <f aca="false">SUM(C76+D76+E76)*F76*G76</f>
        <v>0</v>
      </c>
      <c r="I76" s="129"/>
      <c r="L76" s="72"/>
      <c r="M76" s="72"/>
      <c r="N76" s="72"/>
    </row>
    <row r="77" customFormat="false" ht="23.85" hidden="false" customHeight="false" outlineLevel="0" collapsed="false">
      <c r="A77" s="79" t="n">
        <v>5</v>
      </c>
      <c r="B77" s="82" t="s">
        <v>179</v>
      </c>
      <c r="C77" s="87" t="n">
        <v>5</v>
      </c>
      <c r="D77" s="79" t="s">
        <v>171</v>
      </c>
      <c r="E77" s="87" t="n">
        <f aca="false">B85</f>
        <v>20.72</v>
      </c>
      <c r="F77" s="87" t="n">
        <v>1</v>
      </c>
      <c r="G77" s="87" t="n">
        <v>1</v>
      </c>
      <c r="H77" s="103" t="n">
        <f aca="false">C77*E77*F77*G77</f>
        <v>103.6</v>
      </c>
      <c r="I77" s="129"/>
      <c r="L77" s="72"/>
      <c r="M77" s="72"/>
      <c r="N77" s="72"/>
    </row>
    <row r="78" customFormat="false" ht="23.85" hidden="false" customHeight="false" outlineLevel="0" collapsed="false">
      <c r="A78" s="79" t="n">
        <v>6</v>
      </c>
      <c r="B78" s="82" t="s">
        <v>180</v>
      </c>
      <c r="C78" s="87" t="n">
        <v>30</v>
      </c>
      <c r="D78" s="79" t="s">
        <v>171</v>
      </c>
      <c r="E78" s="87" t="n">
        <f aca="false">B85</f>
        <v>20.72</v>
      </c>
      <c r="F78" s="87" t="n">
        <v>1</v>
      </c>
      <c r="G78" s="87" t="n">
        <v>1</v>
      </c>
      <c r="H78" s="103" t="n">
        <f aca="false">C78*E78*F78*G78</f>
        <v>621.6</v>
      </c>
      <c r="I78" s="129"/>
      <c r="L78" s="72"/>
      <c r="M78" s="72"/>
      <c r="N78" s="72"/>
    </row>
    <row r="79" customFormat="false" ht="13.05" hidden="false" customHeight="false" outlineLevel="0" collapsed="false">
      <c r="A79" s="79" t="n">
        <v>7</v>
      </c>
      <c r="B79" s="80" t="s">
        <v>181</v>
      </c>
      <c r="C79" s="87"/>
      <c r="D79" s="87"/>
      <c r="E79" s="87"/>
      <c r="F79" s="87" t="n">
        <v>1</v>
      </c>
      <c r="G79" s="87" t="n">
        <v>1</v>
      </c>
      <c r="H79" s="103" t="n">
        <f aca="false">SUM(C79+D79+E79)*F79*G79</f>
        <v>0</v>
      </c>
      <c r="I79" s="129"/>
      <c r="J79" s="105"/>
      <c r="K79" s="105"/>
      <c r="L79" s="89"/>
      <c r="M79" s="89"/>
      <c r="N79" s="72"/>
    </row>
    <row r="80" customFormat="false" ht="13.05" hidden="false" customHeight="false" outlineLevel="0" collapsed="false">
      <c r="A80" s="79" t="n">
        <v>8</v>
      </c>
      <c r="B80" s="80" t="s">
        <v>182</v>
      </c>
      <c r="C80" s="87"/>
      <c r="D80" s="87"/>
      <c r="E80" s="87"/>
      <c r="F80" s="87" t="n">
        <v>1</v>
      </c>
      <c r="G80" s="80"/>
      <c r="H80" s="129"/>
      <c r="I80" s="103" t="n">
        <f aca="false">SUM(C80+D80+E80)*F80</f>
        <v>0</v>
      </c>
      <c r="J80" s="105"/>
      <c r="K80" s="105"/>
      <c r="L80" s="89"/>
      <c r="M80" s="89"/>
      <c r="N80" s="72"/>
    </row>
    <row r="81" customFormat="false" ht="13.05" hidden="false" customHeight="true" outlineLevel="0" collapsed="false">
      <c r="A81" s="112" t="s">
        <v>183</v>
      </c>
      <c r="B81" s="127" t="s">
        <v>184</v>
      </c>
      <c r="C81" s="127"/>
      <c r="D81" s="127"/>
      <c r="E81" s="127"/>
      <c r="F81" s="127"/>
      <c r="G81" s="127"/>
      <c r="H81" s="114" t="n">
        <f aca="false">SUM(H73:H80)</f>
        <v>725.2</v>
      </c>
      <c r="I81" s="114" t="n">
        <f aca="false">SUM(I73:I80)</f>
        <v>0</v>
      </c>
      <c r="L81" s="72"/>
      <c r="M81" s="72"/>
      <c r="N81" s="72"/>
    </row>
    <row r="82" s="117" customFormat="true" ht="12.8" hidden="false" customHeight="false" outlineLevel="0" collapsed="false"/>
    <row r="83" customFormat="false" ht="13.05" hidden="false" customHeight="true" outlineLevel="0" collapsed="false">
      <c r="A83" s="101" t="s">
        <v>185</v>
      </c>
      <c r="B83" s="88"/>
      <c r="C83" s="105"/>
      <c r="D83" s="105"/>
      <c r="E83" s="105"/>
      <c r="F83" s="88"/>
      <c r="G83" s="88"/>
      <c r="H83" s="118" t="s">
        <v>97</v>
      </c>
      <c r="I83" s="118"/>
      <c r="J83" s="118" t="s">
        <v>107</v>
      </c>
      <c r="K83" s="118"/>
      <c r="L83" s="72"/>
      <c r="M83" s="72"/>
      <c r="N83" s="72"/>
    </row>
    <row r="84" customFormat="false" ht="13.05" hidden="false" customHeight="false" outlineLevel="0" collapsed="false">
      <c r="A84" s="89"/>
      <c r="B84" s="79" t="s">
        <v>186</v>
      </c>
      <c r="C84" s="79" t="s">
        <v>187</v>
      </c>
      <c r="D84" s="79" t="s">
        <v>188</v>
      </c>
      <c r="E84" s="119"/>
      <c r="F84" s="130" t="s">
        <v>7</v>
      </c>
      <c r="G84" s="130" t="s">
        <v>7</v>
      </c>
      <c r="H84" s="79" t="s">
        <v>168</v>
      </c>
      <c r="I84" s="79" t="s">
        <v>169</v>
      </c>
      <c r="J84" s="79" t="s">
        <v>168</v>
      </c>
      <c r="K84" s="79" t="s">
        <v>169</v>
      </c>
      <c r="L84" s="72"/>
      <c r="M84" s="72"/>
      <c r="N84" s="72"/>
    </row>
    <row r="85" customFormat="false" ht="12.8" hidden="false" customHeight="false" outlineLevel="0" collapsed="false">
      <c r="A85" s="79" t="n">
        <v>1</v>
      </c>
      <c r="B85" s="87" t="n">
        <f aca="false">3.7*5.6</f>
        <v>20.72</v>
      </c>
      <c r="C85" s="87" t="n">
        <v>4.2</v>
      </c>
      <c r="D85" s="87" t="n">
        <v>1</v>
      </c>
      <c r="E85" s="119" t="s">
        <v>189</v>
      </c>
      <c r="F85" s="87"/>
      <c r="G85" s="131" t="n">
        <f aca="false">F85 + D85*B85*C85</f>
        <v>87.024</v>
      </c>
      <c r="H85" s="103" t="n">
        <f aca="false">1230*(G85/3600)*($D$9-$E$9)</f>
        <v>392.47824</v>
      </c>
      <c r="I85" s="103" t="n">
        <f aca="false">3010000*G85/3600*($D$11-$E$11)</f>
        <v>573.868662976559</v>
      </c>
      <c r="J85" s="103" t="n">
        <f aca="false">1230*(G85/3600)*($D$15-$E$15)</f>
        <v>246.78556</v>
      </c>
      <c r="K85" s="103" t="n">
        <f aca="false">3010000*G85/3600*($D$17-$E$17)</f>
        <v>922.199798349068</v>
      </c>
      <c r="L85" s="72"/>
    </row>
    <row r="86" customFormat="false" ht="13.05" hidden="false" customHeight="true" outlineLevel="0" collapsed="false">
      <c r="A86" s="112" t="s">
        <v>190</v>
      </c>
      <c r="B86" s="127" t="s">
        <v>191</v>
      </c>
      <c r="C86" s="127"/>
      <c r="D86" s="127"/>
      <c r="E86" s="127"/>
      <c r="F86" s="127"/>
      <c r="G86" s="127"/>
      <c r="H86" s="114" t="n">
        <f aca="false">SUM(H85:H85)</f>
        <v>392.47824</v>
      </c>
      <c r="I86" s="114" t="n">
        <f aca="false">SUM(I85:I85)</f>
        <v>573.868662976559</v>
      </c>
      <c r="J86" s="114" t="n">
        <f aca="false">SUM(J85:J85)</f>
        <v>246.78556</v>
      </c>
      <c r="K86" s="114" t="n">
        <f aca="false">SUM(K85:K85)</f>
        <v>922.199798349068</v>
      </c>
      <c r="L86" s="72"/>
    </row>
    <row r="87" customFormat="false" ht="12.8" hidden="false" customHeight="false" outlineLevel="0" collapsed="false">
      <c r="A87" s="132"/>
      <c r="B87" s="115"/>
      <c r="C87" s="115"/>
      <c r="D87" s="115"/>
      <c r="E87" s="115"/>
      <c r="F87" s="133"/>
      <c r="G87" s="133"/>
      <c r="L87" s="72"/>
    </row>
    <row r="88" customFormat="false" ht="13.05" hidden="false" customHeight="true" outlineLevel="0" collapsed="false">
      <c r="A88" s="74" t="s">
        <v>192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2"/>
    </row>
    <row r="89" customFormat="false" ht="12.8" hidden="false" customHeight="false" outlineLevel="0" collapsed="false">
      <c r="A89" s="74"/>
      <c r="B89" s="74"/>
      <c r="C89" s="74"/>
      <c r="D89" s="74"/>
      <c r="E89" s="74"/>
      <c r="F89" s="74"/>
      <c r="G89" s="133"/>
      <c r="L89" s="72"/>
    </row>
    <row r="90" customFormat="false" ht="13.05" hidden="false" customHeight="false" outlineLevel="0" collapsed="false">
      <c r="A90" s="88"/>
      <c r="B90" s="72"/>
      <c r="C90" s="72"/>
      <c r="D90" s="72"/>
      <c r="E90" s="79" t="s">
        <v>97</v>
      </c>
      <c r="F90" s="79" t="s">
        <v>107</v>
      </c>
      <c r="G90" s="72"/>
      <c r="J90" s="79" t="s">
        <v>97</v>
      </c>
      <c r="K90" s="79" t="s">
        <v>107</v>
      </c>
      <c r="L90" s="72"/>
    </row>
    <row r="91" customFormat="false" ht="24.25" hidden="false" customHeight="true" outlineLevel="0" collapsed="false">
      <c r="A91" s="79" t="s">
        <v>193</v>
      </c>
      <c r="B91" s="118" t="s">
        <v>120</v>
      </c>
      <c r="C91" s="118"/>
      <c r="D91" s="118"/>
      <c r="E91" s="79" t="s">
        <v>194</v>
      </c>
      <c r="F91" s="79" t="s">
        <v>194</v>
      </c>
      <c r="G91" s="89"/>
      <c r="H91" s="134"/>
      <c r="I91" s="134"/>
      <c r="J91" s="79"/>
      <c r="K91" s="79"/>
      <c r="L91" s="135"/>
    </row>
    <row r="92" customFormat="false" ht="13.8" hidden="false" customHeight="true" outlineLevel="0" collapsed="false">
      <c r="A92" s="79" t="n">
        <v>1</v>
      </c>
      <c r="B92" s="124" t="s">
        <v>195</v>
      </c>
      <c r="C92" s="124"/>
      <c r="D92" s="124"/>
      <c r="E92" s="103" t="n">
        <f aca="false">I51</f>
        <v>2965.917059</v>
      </c>
      <c r="F92" s="103" t="n">
        <f aca="false">K51</f>
        <v>1653.391985</v>
      </c>
      <c r="G92" s="135"/>
      <c r="H92" s="136" t="s">
        <v>196</v>
      </c>
      <c r="I92" s="136"/>
      <c r="J92" s="137" t="n">
        <f aca="false">(E97/E102)</f>
        <v>0.883504869734765</v>
      </c>
      <c r="K92" s="137" t="n">
        <f aca="false">(F97/F102)</f>
        <v>0.801361951673348</v>
      </c>
      <c r="L92" s="72"/>
    </row>
    <row r="93" customFormat="false" ht="13.8" hidden="false" customHeight="true" outlineLevel="0" collapsed="false">
      <c r="A93" s="79" t="n">
        <v>2</v>
      </c>
      <c r="B93" s="124" t="s">
        <v>197</v>
      </c>
      <c r="C93" s="124"/>
      <c r="D93" s="124"/>
      <c r="E93" s="103" t="n">
        <f aca="false">H65</f>
        <v>1681.30368</v>
      </c>
      <c r="F93" s="103" t="n">
        <f aca="false">K65</f>
        <v>1762.236</v>
      </c>
      <c r="G93" s="138"/>
      <c r="H93" s="136" t="s">
        <v>198</v>
      </c>
      <c r="I93" s="136"/>
      <c r="J93" s="139" t="n">
        <f aca="false">ROUND($E$107*3600/($B$85*$C$85),0)</f>
        <v>23</v>
      </c>
      <c r="K93" s="139" t="n">
        <f aca="false">ROUND($F$107*3600/($B$85*$C$85),0)</f>
        <v>18</v>
      </c>
      <c r="L93" s="72"/>
    </row>
    <row r="94" customFormat="false" ht="14.9" hidden="false" customHeight="true" outlineLevel="0" collapsed="false">
      <c r="A94" s="79" t="n">
        <v>3</v>
      </c>
      <c r="B94" s="124" t="s">
        <v>199</v>
      </c>
      <c r="C94" s="124"/>
      <c r="D94" s="124"/>
      <c r="E94" s="103" t="n">
        <f aca="false">G70</f>
        <v>180</v>
      </c>
      <c r="F94" s="103" t="n">
        <f aca="false">G70</f>
        <v>180</v>
      </c>
      <c r="G94" s="138"/>
      <c r="H94" s="136" t="s">
        <v>200</v>
      </c>
      <c r="I94" s="136"/>
      <c r="J94" s="139" t="n">
        <f aca="false">$E$9-($I$51+$H$65)/(SUMPRODUCT($G$28:$G$43, $F$28:$F$43) + $F$47*$G$47+ $F$49*$G$49)</f>
        <v>-38.5320178999659</v>
      </c>
      <c r="K94" s="139" t="n">
        <f aca="false">$E$15-($K$51+$K$65)/(SUMPRODUCT($G$28:$G$43, $F$28:$F$43) + $F$47*$G$47+ $F$49*$G$49)</f>
        <v>-21.959966675395</v>
      </c>
      <c r="L94" s="72"/>
    </row>
    <row r="95" customFormat="false" ht="13.8" hidden="false" customHeight="true" outlineLevel="0" collapsed="false">
      <c r="A95" s="79" t="n">
        <v>4</v>
      </c>
      <c r="B95" s="124" t="s">
        <v>201</v>
      </c>
      <c r="C95" s="124"/>
      <c r="D95" s="124"/>
      <c r="E95" s="103" t="n">
        <f aca="false">H81</f>
        <v>725.2</v>
      </c>
      <c r="F95" s="103" t="n">
        <f aca="false">H81</f>
        <v>725.2</v>
      </c>
      <c r="G95" s="138"/>
      <c r="H95" s="136" t="s">
        <v>202</v>
      </c>
      <c r="I95" s="136"/>
      <c r="J95" s="140" t="n">
        <f aca="false">$M$54</f>
        <v>8</v>
      </c>
      <c r="K95" s="140" t="n">
        <f aca="false">$N$54</f>
        <v>8</v>
      </c>
      <c r="L95" s="72"/>
    </row>
    <row r="96" customFormat="false" ht="13.05" hidden="false" customHeight="true" outlineLevel="0" collapsed="false">
      <c r="A96" s="79" t="n">
        <v>5</v>
      </c>
      <c r="B96" s="124" t="s">
        <v>203</v>
      </c>
      <c r="C96" s="124"/>
      <c r="D96" s="124"/>
      <c r="E96" s="103" t="n">
        <f aca="false">H86</f>
        <v>392.47824</v>
      </c>
      <c r="F96" s="103" t="n">
        <f aca="false">J86</f>
        <v>246.78556</v>
      </c>
      <c r="L96" s="72"/>
    </row>
    <row r="97" customFormat="false" ht="13.05" hidden="false" customHeight="true" outlineLevel="0" collapsed="false">
      <c r="A97" s="141" t="s">
        <v>204</v>
      </c>
      <c r="B97" s="142" t="s">
        <v>205</v>
      </c>
      <c r="C97" s="142"/>
      <c r="D97" s="142"/>
      <c r="E97" s="143" t="n">
        <f aca="false">SUM(E92:E96)</f>
        <v>5944.898979</v>
      </c>
      <c r="F97" s="143" t="n">
        <f aca="false">SUM(F92:F96)</f>
        <v>4567.613545</v>
      </c>
      <c r="L97" s="72"/>
    </row>
    <row r="98" customFormat="false" ht="13.05" hidden="false" customHeight="true" outlineLevel="0" collapsed="false">
      <c r="A98" s="79" t="n">
        <v>1</v>
      </c>
      <c r="B98" s="124" t="s">
        <v>199</v>
      </c>
      <c r="C98" s="124"/>
      <c r="D98" s="124"/>
      <c r="E98" s="103" t="n">
        <f aca="false">H70</f>
        <v>210</v>
      </c>
      <c r="F98" s="103" t="n">
        <f aca="false">H70</f>
        <v>210</v>
      </c>
      <c r="L98" s="72"/>
    </row>
    <row r="99" customFormat="false" ht="13.05" hidden="false" customHeight="true" outlineLevel="0" collapsed="false">
      <c r="A99" s="79" t="n">
        <v>2</v>
      </c>
      <c r="B99" s="124" t="s">
        <v>206</v>
      </c>
      <c r="C99" s="124"/>
      <c r="D99" s="124"/>
      <c r="E99" s="103" t="n">
        <f aca="false">I81</f>
        <v>0</v>
      </c>
      <c r="F99" s="103" t="n">
        <f aca="false">I81</f>
        <v>0</v>
      </c>
      <c r="L99" s="72"/>
    </row>
    <row r="100" customFormat="false" ht="13.05" hidden="false" customHeight="true" outlineLevel="0" collapsed="false">
      <c r="A100" s="79" t="n">
        <v>3</v>
      </c>
      <c r="B100" s="124" t="s">
        <v>203</v>
      </c>
      <c r="C100" s="124"/>
      <c r="D100" s="124"/>
      <c r="E100" s="103" t="n">
        <f aca="false">I86</f>
        <v>573.868662976559</v>
      </c>
      <c r="F100" s="103" t="n">
        <f aca="false">K86</f>
        <v>922.199798349068</v>
      </c>
      <c r="L100" s="72"/>
    </row>
    <row r="101" customFormat="false" ht="13.05" hidden="false" customHeight="true" outlineLevel="0" collapsed="false">
      <c r="A101" s="141" t="s">
        <v>207</v>
      </c>
      <c r="B101" s="142" t="s">
        <v>208</v>
      </c>
      <c r="C101" s="142"/>
      <c r="D101" s="142"/>
      <c r="E101" s="143" t="n">
        <f aca="false">SUM(E98:E100)</f>
        <v>783.868662976559</v>
      </c>
      <c r="F101" s="143" t="n">
        <f aca="false">SUM(F98:F100)</f>
        <v>1132.19979834907</v>
      </c>
      <c r="L101" s="72"/>
    </row>
    <row r="102" customFormat="false" ht="13.05" hidden="false" customHeight="true" outlineLevel="0" collapsed="false">
      <c r="A102" s="141" t="s">
        <v>209</v>
      </c>
      <c r="B102" s="142" t="s">
        <v>210</v>
      </c>
      <c r="C102" s="142"/>
      <c r="D102" s="142"/>
      <c r="E102" s="143" t="n">
        <f aca="false">E97+E101</f>
        <v>6728.76764197656</v>
      </c>
      <c r="F102" s="143" t="n">
        <f aca="false">F97+F101</f>
        <v>5699.81334334907</v>
      </c>
      <c r="L102" s="72"/>
    </row>
    <row r="103" s="147" customFormat="true" ht="12.8" hidden="false" customHeight="true" outlineLevel="0" collapsed="false">
      <c r="A103" s="79"/>
      <c r="B103" s="124" t="s">
        <v>211</v>
      </c>
      <c r="C103" s="124"/>
      <c r="D103" s="124"/>
      <c r="E103" s="144" t="n">
        <f aca="false">E115</f>
        <v>13.9354582137594</v>
      </c>
      <c r="F103" s="144" t="n">
        <f aca="false">F115</f>
        <v>13.9987157312593</v>
      </c>
      <c r="G103" s="70"/>
      <c r="H103" s="70"/>
      <c r="I103" s="70"/>
      <c r="J103" s="70"/>
      <c r="K103" s="70"/>
      <c r="L103" s="146"/>
    </row>
    <row r="104" customFormat="false" ht="13.05" hidden="false" customHeight="true" outlineLevel="0" collapsed="false">
      <c r="A104" s="79"/>
      <c r="B104" s="124" t="s">
        <v>212</v>
      </c>
      <c r="C104" s="124"/>
      <c r="D104" s="124"/>
      <c r="E104" s="148" t="n">
        <f aca="false">E97/(1230*($E$9-E103))</f>
        <v>0.480225658066883</v>
      </c>
      <c r="F104" s="148" t="n">
        <f aca="false">F97/(1230*($E$15-F103))</f>
        <v>0.371303009430613</v>
      </c>
      <c r="L104" s="72"/>
    </row>
    <row r="105" customFormat="false" ht="13.05" hidden="false" customHeight="true" outlineLevel="0" collapsed="false">
      <c r="A105" s="141" t="s">
        <v>213</v>
      </c>
      <c r="B105" s="142" t="s">
        <v>214</v>
      </c>
      <c r="C105" s="142"/>
      <c r="D105" s="142"/>
      <c r="E105" s="143" t="n">
        <f aca="false">1230*E104*1</f>
        <v>590.677559422266</v>
      </c>
      <c r="F105" s="143" t="n">
        <f aca="false">1230*F104*1</f>
        <v>456.702701599654</v>
      </c>
      <c r="G105" s="73"/>
      <c r="L105" s="72"/>
    </row>
    <row r="106" s="150" customFormat="true" ht="13.05" hidden="false" customHeight="true" outlineLevel="0" collapsed="false">
      <c r="A106" s="141" t="s">
        <v>215</v>
      </c>
      <c r="B106" s="142" t="s">
        <v>216</v>
      </c>
      <c r="C106" s="142"/>
      <c r="D106" s="142"/>
      <c r="E106" s="149" t="n">
        <f aca="false">E123*1000</f>
        <v>250</v>
      </c>
      <c r="F106" s="149" t="n">
        <f aca="false">F123*1000</f>
        <v>200</v>
      </c>
      <c r="G106" s="73"/>
      <c r="H106" s="70"/>
      <c r="I106" s="70"/>
      <c r="J106" s="70"/>
      <c r="K106" s="70"/>
      <c r="L106" s="73"/>
      <c r="AMJ106" s="71"/>
    </row>
    <row r="107" s="150" customFormat="true" ht="13.05" hidden="false" customHeight="true" outlineLevel="0" collapsed="false">
      <c r="A107" s="79"/>
      <c r="B107" s="82" t="s">
        <v>217</v>
      </c>
      <c r="C107" s="82"/>
      <c r="D107" s="82"/>
      <c r="E107" s="148" t="n">
        <f aca="false">(E97+E105+E106)/(1230*($E$9-E103))</f>
        <v>0.548135127281031</v>
      </c>
      <c r="F107" s="148" t="n">
        <f aca="false">(F97+F105+F106)/(1230*($E$15-F103))</f>
        <v>0.424686617085442</v>
      </c>
      <c r="G107" s="72"/>
      <c r="H107" s="70"/>
      <c r="I107" s="70"/>
      <c r="J107" s="70"/>
      <c r="K107" s="70"/>
      <c r="L107" s="73"/>
      <c r="AMJ107" s="71"/>
    </row>
    <row r="108" customFormat="false" ht="24.25" hidden="false" customHeight="true" outlineLevel="0" collapsed="false">
      <c r="A108" s="79"/>
      <c r="B108" s="124" t="s">
        <v>218</v>
      </c>
      <c r="C108" s="124"/>
      <c r="D108" s="124"/>
      <c r="E108" s="151" t="n">
        <f aca="false">$E$11-E101/(3010000*E107)</f>
        <v>0.00847269723459205</v>
      </c>
      <c r="F108" s="151" t="n">
        <f aca="false">$E$17-F101/(3010000*F107)</f>
        <v>0.00862133660793251</v>
      </c>
      <c r="L108" s="72"/>
    </row>
    <row r="109" customFormat="false" ht="12.8" hidden="false" customHeight="true" outlineLevel="0" collapsed="false">
      <c r="A109" s="79"/>
      <c r="B109" s="124" t="s">
        <v>219</v>
      </c>
      <c r="C109" s="124"/>
      <c r="D109" s="124"/>
      <c r="E109" s="152" t="n">
        <v>0</v>
      </c>
      <c r="F109" s="152" t="n">
        <v>0</v>
      </c>
      <c r="L109" s="72"/>
    </row>
    <row r="110" customFormat="false" ht="12.8" hidden="false" customHeight="true" outlineLevel="0" collapsed="false">
      <c r="A110" s="79"/>
      <c r="B110" s="124" t="s">
        <v>220</v>
      </c>
      <c r="C110" s="124"/>
      <c r="D110" s="124"/>
      <c r="E110" s="152" t="n">
        <v>0.2</v>
      </c>
      <c r="F110" s="152" t="n">
        <v>0.2</v>
      </c>
      <c r="L110" s="72"/>
    </row>
    <row r="111" customFormat="false" ht="13.05" hidden="false" customHeight="true" outlineLevel="0" collapsed="false">
      <c r="A111" s="79"/>
      <c r="B111" s="124" t="s">
        <v>221</v>
      </c>
      <c r="C111" s="124"/>
      <c r="D111" s="124"/>
      <c r="E111" s="153" t="n">
        <f aca="false">E109*($D$9-$E$9)+$E$9</f>
        <v>24</v>
      </c>
      <c r="F111" s="153" t="n">
        <f aca="false">F109*($D$15-$E$15)+$E$15</f>
        <v>24</v>
      </c>
      <c r="L111" s="72"/>
    </row>
    <row r="112" customFormat="false" ht="13.05" hidden="false" customHeight="true" outlineLevel="0" collapsed="false">
      <c r="A112" s="79"/>
      <c r="B112" s="124" t="s">
        <v>222</v>
      </c>
      <c r="C112" s="124"/>
      <c r="D112" s="124"/>
      <c r="E112" s="151" t="n">
        <f aca="false">E109*($D$11-$E$11)+$E$11</f>
        <v>0.00894780176585656</v>
      </c>
      <c r="F112" s="151" t="n">
        <f aca="false">F109*($D$17-$E$17)+$E$17</f>
        <v>0.0095070393762226</v>
      </c>
      <c r="L112" s="72"/>
    </row>
    <row r="113" customFormat="false" ht="14.9" hidden="false" customHeight="true" outlineLevel="0" collapsed="false">
      <c r="A113" s="79"/>
      <c r="B113" s="124" t="s">
        <v>223</v>
      </c>
      <c r="C113" s="124"/>
      <c r="D113" s="124"/>
      <c r="E113" s="151" t="n">
        <f aca="false">(E108-E110*E112)/(1-E110)</f>
        <v>0.00835392110177593</v>
      </c>
      <c r="F113" s="151" t="n">
        <f aca="false">(F108-F110*F112)/(1-F110)</f>
        <v>0.00839991091585999</v>
      </c>
      <c r="L113" s="72"/>
    </row>
    <row r="114" s="147" customFormat="true" ht="14.9" hidden="false" customHeight="true" outlineLevel="0" collapsed="false">
      <c r="A114" s="154"/>
      <c r="B114" s="155" t="s">
        <v>224</v>
      </c>
      <c r="C114" s="155"/>
      <c r="D114" s="155"/>
      <c r="E114" s="156" t="n">
        <f aca="false">1730.63/(8.07131-LOG10(E113*101325/(0.62198+E108)*0.00750062))-233.426</f>
        <v>11.4193227671993</v>
      </c>
      <c r="F114" s="156" t="n">
        <f aca="false">1730.63/(8.07131-LOG10(F113*101325/(0.62198+F108)*0.00750062))-233.426</f>
        <v>11.4983946640741</v>
      </c>
      <c r="L114" s="146"/>
    </row>
    <row r="115" customFormat="false" ht="13.05" hidden="false" customHeight="true" outlineLevel="0" collapsed="false">
      <c r="A115" s="79"/>
      <c r="B115" s="124" t="s">
        <v>225</v>
      </c>
      <c r="C115" s="124"/>
      <c r="D115" s="124"/>
      <c r="E115" s="153" t="n">
        <f aca="false">E114+E110*(E111-E114)</f>
        <v>13.9354582137594</v>
      </c>
      <c r="F115" s="153" t="n">
        <f aca="false">F114+F110*(F111-F114)</f>
        <v>13.9987157312593</v>
      </c>
      <c r="L115" s="72"/>
    </row>
    <row r="116" customFormat="false" ht="13.8" hidden="false" customHeight="true" outlineLevel="0" collapsed="false">
      <c r="A116" s="141" t="s">
        <v>226</v>
      </c>
      <c r="B116" s="157" t="s">
        <v>227</v>
      </c>
      <c r="C116" s="157"/>
      <c r="D116" s="157"/>
      <c r="E116" s="143" t="n">
        <f aca="false">1230*E107*(E111-E115)</f>
        <v>6785.57653842227</v>
      </c>
      <c r="F116" s="143" t="n">
        <f aca="false">1230*F107*(F111-F115)</f>
        <v>5224.31624659965</v>
      </c>
      <c r="G116" s="135"/>
      <c r="H116" s="135"/>
      <c r="I116" s="135"/>
      <c r="J116" s="135"/>
      <c r="K116" s="135"/>
      <c r="L116" s="72"/>
    </row>
    <row r="117" s="150" customFormat="true" ht="13.05" hidden="false" customHeight="true" outlineLevel="0" collapsed="false">
      <c r="A117" s="141" t="s">
        <v>228</v>
      </c>
      <c r="B117" s="157" t="s">
        <v>229</v>
      </c>
      <c r="C117" s="157"/>
      <c r="D117" s="157"/>
      <c r="E117" s="143" t="n">
        <f aca="false">3010000*E107*(E112-E108)</f>
        <v>783.86866297656</v>
      </c>
      <c r="F117" s="143" t="n">
        <f aca="false">3010000*F107*(F112-F108)</f>
        <v>1132.19979834907</v>
      </c>
      <c r="G117" s="74" t="s">
        <v>230</v>
      </c>
      <c r="H117" s="74"/>
      <c r="I117" s="74"/>
      <c r="J117" s="74"/>
      <c r="K117" s="74"/>
      <c r="AMJ117" s="71"/>
    </row>
    <row r="118" s="150" customFormat="true" ht="13.05" hidden="false" customHeight="true" outlineLevel="0" collapsed="false">
      <c r="A118" s="141" t="s">
        <v>231</v>
      </c>
      <c r="B118" s="157" t="s">
        <v>232</v>
      </c>
      <c r="C118" s="157"/>
      <c r="D118" s="157"/>
      <c r="E118" s="143" t="n">
        <f aca="false">E116+E117</f>
        <v>7569.44520139883</v>
      </c>
      <c r="F118" s="143" t="n">
        <f aca="false">F116+F117</f>
        <v>6356.51604494872</v>
      </c>
      <c r="G118" s="70"/>
      <c r="H118" s="105"/>
      <c r="I118" s="70"/>
      <c r="J118" s="70"/>
      <c r="K118" s="70"/>
      <c r="AMJ118" s="71"/>
    </row>
    <row r="119" s="150" customFormat="true" ht="12.8" hidden="false" customHeight="true" outlineLevel="0" collapsed="false">
      <c r="A119" s="141"/>
      <c r="B119" s="157" t="s">
        <v>233</v>
      </c>
      <c r="C119" s="157"/>
      <c r="D119" s="157"/>
      <c r="E119" s="158" t="n">
        <f aca="false">E118/3517</f>
        <v>2.15224486818278</v>
      </c>
      <c r="F119" s="158" t="n">
        <f aca="false">F118/3517</f>
        <v>1.80736879299082</v>
      </c>
      <c r="G119" s="159" t="s">
        <v>204</v>
      </c>
      <c r="H119" s="160" t="s">
        <v>234</v>
      </c>
      <c r="I119" s="160"/>
      <c r="J119" s="161" t="n">
        <f aca="false">MAX(E119:F119)*1.1</f>
        <v>2.36746935500106</v>
      </c>
      <c r="K119" s="150" t="s">
        <v>17</v>
      </c>
      <c r="AMJ119" s="71"/>
    </row>
    <row r="120" customFormat="false" ht="12.8" hidden="false" customHeight="true" outlineLevel="0" collapsed="false">
      <c r="A120" s="162" t="s">
        <v>235</v>
      </c>
      <c r="B120" s="163" t="s">
        <v>236</v>
      </c>
      <c r="C120" s="163"/>
      <c r="D120" s="163"/>
      <c r="E120" s="164" t="n">
        <f aca="false">1230*E107*(E103-E115)/1000</f>
        <v>0</v>
      </c>
      <c r="F120" s="164" t="n">
        <f aca="false">1230*F107*(F103-F115)/1000</f>
        <v>0</v>
      </c>
      <c r="G120" s="159" t="s">
        <v>207</v>
      </c>
      <c r="H120" s="160" t="s">
        <v>237</v>
      </c>
      <c r="I120" s="160"/>
      <c r="J120" s="165" t="n">
        <f aca="false">MAX(E121:F121)*1.1</f>
        <v>2170.61510403288</v>
      </c>
      <c r="K120" s="150" t="s">
        <v>7</v>
      </c>
      <c r="L120" s="72"/>
    </row>
    <row r="121" customFormat="false" ht="24.25" hidden="false" customHeight="true" outlineLevel="0" collapsed="false">
      <c r="A121" s="141" t="s">
        <v>238</v>
      </c>
      <c r="B121" s="157" t="s">
        <v>239</v>
      </c>
      <c r="C121" s="157"/>
      <c r="D121" s="157"/>
      <c r="E121" s="143" t="n">
        <f aca="false">E107*3600</f>
        <v>1973.28645821171</v>
      </c>
      <c r="F121" s="143" t="n">
        <f aca="false">F107*3600</f>
        <v>1528.87182150759</v>
      </c>
      <c r="G121" s="74"/>
      <c r="H121" s="166" t="s">
        <v>240</v>
      </c>
      <c r="I121" s="166"/>
      <c r="J121" s="167"/>
      <c r="K121" s="74"/>
    </row>
    <row r="122" customFormat="false" ht="12.8" hidden="false" customHeight="true" outlineLevel="0" collapsed="false">
      <c r="A122" s="79"/>
      <c r="B122" s="82" t="s">
        <v>241</v>
      </c>
      <c r="C122" s="82"/>
      <c r="D122" s="82"/>
      <c r="E122" s="168" t="n">
        <v>300</v>
      </c>
      <c r="F122" s="168" t="n">
        <v>300</v>
      </c>
      <c r="H122" s="169" t="s">
        <v>242</v>
      </c>
      <c r="I122" s="169"/>
      <c r="J122" s="170" t="n">
        <f aca="false">ROUND((J120/1.7)/J119,0)</f>
        <v>539</v>
      </c>
    </row>
    <row r="123" customFormat="false" ht="13.05" hidden="false" customHeight="true" outlineLevel="0" collapsed="false">
      <c r="A123" s="79"/>
      <c r="B123" s="82" t="s">
        <v>243</v>
      </c>
      <c r="C123" s="82"/>
      <c r="D123" s="82"/>
      <c r="E123" s="148" t="n">
        <f aca="false">ROUNDUP(E107*E122/(0.7*0.95)/1000,2)</f>
        <v>0.25</v>
      </c>
      <c r="F123" s="148" t="n">
        <f aca="false">ROUNDUP(F107*F122/(0.7*0.95)/1000,2)</f>
        <v>0.2</v>
      </c>
      <c r="H123" s="169" t="s">
        <v>244</v>
      </c>
      <c r="I123" s="169"/>
      <c r="J123" s="170" t="n">
        <f aca="false">ROUND(B85/J119,1)</f>
        <v>8.8</v>
      </c>
    </row>
    <row r="124" customFormat="false" ht="13.8" hidden="false" customHeight="false" outlineLevel="0" collapsed="false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</row>
    <row r="125" s="70" customFormat="true" ht="13.8" hidden="false" customHeight="false" outlineLevel="0" collapsed="false">
      <c r="G125" s="135"/>
      <c r="H125" s="135"/>
      <c r="I125" s="135"/>
      <c r="J125" s="135"/>
      <c r="K125" s="135"/>
      <c r="AMJ125" s="71"/>
    </row>
    <row r="126" s="70" customFormat="true" ht="13.8" hidden="false" customHeight="false" outlineLevel="0" collapsed="false">
      <c r="G126" s="135"/>
      <c r="H126" s="135"/>
      <c r="I126" s="135"/>
      <c r="J126" s="135"/>
      <c r="K126" s="135"/>
      <c r="AMJ126" s="71"/>
    </row>
    <row r="127" s="70" customFormat="true" ht="12.8" hidden="false" customHeight="false" outlineLevel="0" collapsed="false">
      <c r="AMJ127" s="71"/>
    </row>
    <row r="128" s="70" customFormat="true" ht="12.8" hidden="false" customHeight="false" outlineLevel="0" collapsed="false">
      <c r="AMJ128" s="71"/>
    </row>
  </sheetData>
  <mergeCells count="108">
    <mergeCell ref="A2:K2"/>
    <mergeCell ref="B4:G4"/>
    <mergeCell ref="B5:G5"/>
    <mergeCell ref="E6:G6"/>
    <mergeCell ref="A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F53:H53"/>
    <mergeCell ref="I53:K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0:F70"/>
    <mergeCell ref="A72:E72"/>
    <mergeCell ref="B81:G81"/>
    <mergeCell ref="H83:I83"/>
    <mergeCell ref="J83:K83"/>
    <mergeCell ref="B86:G86"/>
    <mergeCell ref="A88:K88"/>
    <mergeCell ref="B91:D91"/>
    <mergeCell ref="H91:I91"/>
    <mergeCell ref="B92:D92"/>
    <mergeCell ref="H92:I92"/>
    <mergeCell ref="B93:D93"/>
    <mergeCell ref="H93:I93"/>
    <mergeCell ref="B94:D94"/>
    <mergeCell ref="H94:I94"/>
    <mergeCell ref="B95:D95"/>
    <mergeCell ref="H95:I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G117:K117"/>
    <mergeCell ref="B118:D118"/>
    <mergeCell ref="B119:D119"/>
    <mergeCell ref="H119:I119"/>
    <mergeCell ref="B120:D120"/>
    <mergeCell ref="H120:I120"/>
    <mergeCell ref="B121:D121"/>
    <mergeCell ref="H121:I121"/>
    <mergeCell ref="B122:D122"/>
    <mergeCell ref="H122:I122"/>
    <mergeCell ref="B123:D123"/>
    <mergeCell ref="H123:I12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1" man="true" max="16383" min="0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pageBreakPreview" topLeftCell="A111" colorId="64" zoomScale="130" zoomScaleNormal="115" zoomScalePageLayoutView="13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69" width="11.64"/>
    <col collapsed="false" customWidth="true" hidden="false" outlineLevel="0" max="2" min="2" style="69" width="15.8"/>
    <col collapsed="false" customWidth="true" hidden="false" outlineLevel="0" max="3" min="3" style="69" width="9.83"/>
    <col collapsed="false" customWidth="true" hidden="false" outlineLevel="0" max="4" min="4" style="69" width="9.24"/>
    <col collapsed="false" customWidth="true" hidden="false" outlineLevel="0" max="5" min="5" style="70" width="9.51"/>
    <col collapsed="false" customWidth="true" hidden="false" outlineLevel="0" max="6" min="6" style="70" width="8.14"/>
    <col collapsed="false" customWidth="true" hidden="false" outlineLevel="0" max="7" min="7" style="70" width="8.79"/>
    <col collapsed="false" customWidth="true" hidden="false" outlineLevel="0" max="8" min="8" style="70" width="13.55"/>
    <col collapsed="false" customWidth="true" hidden="false" outlineLevel="0" max="9" min="9" style="70" width="8.55"/>
    <col collapsed="false" customWidth="true" hidden="false" outlineLevel="0" max="10" min="10" style="70" width="10.25"/>
    <col collapsed="false" customWidth="false" hidden="false" outlineLevel="0" max="12" min="11" style="70" width="9.13"/>
    <col collapsed="false" customWidth="true" hidden="false" outlineLevel="0" max="13" min="13" style="70" width="11.94"/>
    <col collapsed="false" customWidth="false" hidden="false" outlineLevel="0" max="1023" min="14" style="70" width="9.13"/>
    <col collapsed="false" customWidth="false" hidden="false" outlineLevel="0" max="1024" min="1024" style="71" width="9.13"/>
  </cols>
  <sheetData>
    <row r="1" customFormat="false" ht="12.8" hidden="false" customHeight="false" outlineLevel="0" collapsed="false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3.05" hidden="false" customHeight="true" outlineLevel="0" collapsed="false">
      <c r="A2" s="74" t="s">
        <v>86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customFormat="false" ht="12.8" hidden="false" customHeight="false" outlineLevel="0" collapsed="false">
      <c r="A3" s="72"/>
      <c r="B3" s="72"/>
      <c r="C3" s="72"/>
      <c r="D3" s="72"/>
      <c r="E3" s="72"/>
      <c r="F3" s="72"/>
      <c r="G3" s="76"/>
      <c r="H3" s="72"/>
      <c r="I3" s="72"/>
      <c r="J3" s="72"/>
      <c r="K3" s="72"/>
    </row>
    <row r="4" customFormat="false" ht="13.05" hidden="false" customHeight="false" outlineLevel="0" collapsed="false">
      <c r="A4" s="77" t="s">
        <v>87</v>
      </c>
      <c r="B4" s="77"/>
      <c r="C4" s="77"/>
      <c r="D4" s="77"/>
      <c r="E4" s="77"/>
      <c r="F4" s="77"/>
      <c r="G4" s="77"/>
      <c r="H4" s="78" t="s">
        <v>88</v>
      </c>
      <c r="I4" s="79"/>
      <c r="J4" s="80" t="s">
        <v>89</v>
      </c>
      <c r="K4" s="81"/>
    </row>
    <row r="5" customFormat="false" ht="12.8" hidden="false" customHeight="true" outlineLevel="0" collapsed="false">
      <c r="A5" s="82" t="s">
        <v>90</v>
      </c>
      <c r="B5" s="83" t="s">
        <v>247</v>
      </c>
      <c r="C5" s="83"/>
      <c r="D5" s="83"/>
      <c r="E5" s="83"/>
      <c r="F5" s="83"/>
      <c r="G5" s="83"/>
      <c r="H5" s="84" t="s">
        <v>92</v>
      </c>
      <c r="I5" s="79"/>
      <c r="J5" s="80" t="s">
        <v>89</v>
      </c>
      <c r="K5" s="85"/>
      <c r="L5" s="86"/>
    </row>
    <row r="6" customFormat="false" ht="13.05" hidden="false" customHeight="false" outlineLevel="0" collapsed="false">
      <c r="A6" s="80" t="s">
        <v>93</v>
      </c>
      <c r="B6" s="87" t="n">
        <v>1</v>
      </c>
      <c r="C6" s="79" t="s">
        <v>94</v>
      </c>
      <c r="D6" s="87" t="n">
        <v>1</v>
      </c>
      <c r="E6" s="80"/>
      <c r="F6" s="80"/>
      <c r="G6" s="80"/>
      <c r="H6" s="84" t="s">
        <v>95</v>
      </c>
      <c r="I6" s="79"/>
      <c r="J6" s="80" t="s">
        <v>89</v>
      </c>
      <c r="K6" s="81"/>
      <c r="L6" s="72"/>
    </row>
    <row r="7" customFormat="false" ht="13.05" hidden="false" customHeight="true" outlineLevel="0" collapsed="false">
      <c r="A7" s="88" t="s">
        <v>96</v>
      </c>
      <c r="B7" s="88"/>
      <c r="C7" s="88"/>
      <c r="D7" s="88"/>
      <c r="E7" s="88"/>
      <c r="F7" s="72"/>
      <c r="G7" s="72"/>
      <c r="H7" s="72"/>
      <c r="I7" s="89"/>
      <c r="J7" s="72"/>
      <c r="K7" s="90"/>
      <c r="L7" s="72"/>
    </row>
    <row r="8" customFormat="false" ht="13.05" hidden="false" customHeight="true" outlineLevel="0" collapsed="false">
      <c r="A8" s="91" t="s">
        <v>97</v>
      </c>
      <c r="B8" s="91"/>
      <c r="C8" s="80"/>
      <c r="D8" s="92" t="s">
        <v>98</v>
      </c>
      <c r="E8" s="92" t="s">
        <v>99</v>
      </c>
      <c r="F8" s="92" t="s">
        <v>100</v>
      </c>
      <c r="G8" s="72"/>
      <c r="H8" s="93" t="s">
        <v>101</v>
      </c>
      <c r="I8" s="89"/>
      <c r="J8" s="72"/>
      <c r="K8" s="90"/>
      <c r="L8" s="72"/>
    </row>
    <row r="9" customFormat="false" ht="12.8" hidden="false" customHeight="true" outlineLevel="0" collapsed="false">
      <c r="A9" s="82" t="s">
        <v>102</v>
      </c>
      <c r="B9" s="82"/>
      <c r="C9" s="80"/>
      <c r="D9" s="94" t="n">
        <v>37.2</v>
      </c>
      <c r="E9" s="87" t="n">
        <v>25</v>
      </c>
      <c r="F9" s="80"/>
      <c r="G9" s="72"/>
      <c r="H9" s="95" t="s">
        <v>103</v>
      </c>
      <c r="I9" s="89"/>
      <c r="J9" s="72"/>
      <c r="K9" s="90"/>
      <c r="L9" s="72"/>
    </row>
    <row r="10" customFormat="false" ht="12.8" hidden="false" customHeight="true" outlineLevel="0" collapsed="false">
      <c r="A10" s="82" t="s">
        <v>104</v>
      </c>
      <c r="B10" s="82"/>
      <c r="C10" s="80"/>
      <c r="D10" s="94" t="n">
        <v>41</v>
      </c>
      <c r="E10" s="87" t="n">
        <v>46</v>
      </c>
      <c r="F10" s="80"/>
      <c r="G10" s="72"/>
      <c r="H10" s="96"/>
      <c r="I10" s="89"/>
      <c r="J10" s="72"/>
      <c r="K10" s="90"/>
      <c r="L10" s="72"/>
    </row>
    <row r="11" customFormat="false" ht="13.05" hidden="false" customHeight="true" outlineLevel="0" collapsed="false">
      <c r="A11" s="82" t="s">
        <v>105</v>
      </c>
      <c r="B11" s="82"/>
      <c r="C11" s="80"/>
      <c r="D11" s="97" t="n">
        <f aca="false">0.62198/(101325/(EXP(77.345+0.0057*(273+D9)- 7235/(273+D9))/(273+D9)^8.2)-1)*D10/100</f>
        <v>0.016834758778653</v>
      </c>
      <c r="E11" s="97" t="n">
        <f aca="false">0.62198/(101325/(EXP(77.345+0.0057*(273+E9)- 7235/(273+E9))/(273+E9)^8.2)-1)*E10/100</f>
        <v>0.00912102665916356</v>
      </c>
      <c r="F11" s="80"/>
      <c r="G11" s="72"/>
      <c r="H11" s="72"/>
      <c r="I11" s="89"/>
      <c r="J11" s="72"/>
      <c r="K11" s="90"/>
      <c r="L11" s="72"/>
    </row>
    <row r="12" customFormat="false" ht="13.05" hidden="false" customHeight="true" outlineLevel="0" collapsed="false">
      <c r="A12" s="82" t="s">
        <v>106</v>
      </c>
      <c r="B12" s="82"/>
      <c r="C12" s="80"/>
      <c r="D12" s="79"/>
      <c r="E12" s="79"/>
      <c r="F12" s="87" t="n">
        <v>10.5</v>
      </c>
      <c r="G12" s="72"/>
      <c r="H12" s="72"/>
      <c r="I12" s="89"/>
      <c r="J12" s="72"/>
      <c r="K12" s="90"/>
      <c r="L12" s="72"/>
    </row>
    <row r="13" customFormat="false" ht="12.8" hidden="false" customHeight="false" outlineLevel="0" collapsed="false">
      <c r="A13" s="82"/>
      <c r="B13" s="82"/>
      <c r="C13" s="80"/>
      <c r="D13" s="79"/>
      <c r="E13" s="79"/>
      <c r="F13" s="79"/>
      <c r="G13" s="72"/>
      <c r="H13" s="72"/>
      <c r="I13" s="89"/>
      <c r="J13" s="72"/>
      <c r="K13" s="90"/>
      <c r="L13" s="72"/>
    </row>
    <row r="14" customFormat="false" ht="13.05" hidden="false" customHeight="true" outlineLevel="0" collapsed="false">
      <c r="A14" s="91" t="s">
        <v>107</v>
      </c>
      <c r="B14" s="91"/>
      <c r="C14" s="80"/>
      <c r="D14" s="98"/>
      <c r="E14" s="98"/>
      <c r="F14" s="80"/>
      <c r="G14" s="72"/>
      <c r="H14" s="72"/>
      <c r="I14" s="89"/>
      <c r="J14" s="72"/>
      <c r="K14" s="90"/>
      <c r="L14" s="72"/>
    </row>
    <row r="15" customFormat="false" ht="12.8" hidden="false" customHeight="true" outlineLevel="0" collapsed="false">
      <c r="A15" s="82" t="s">
        <v>102</v>
      </c>
      <c r="B15" s="82"/>
      <c r="C15" s="80"/>
      <c r="D15" s="94" t="n">
        <v>32.3</v>
      </c>
      <c r="E15" s="87" t="n">
        <v>25</v>
      </c>
      <c r="F15" s="80"/>
      <c r="G15" s="72"/>
      <c r="H15" s="72"/>
      <c r="I15" s="89"/>
      <c r="J15" s="72"/>
      <c r="K15" s="90"/>
      <c r="L15" s="72"/>
    </row>
    <row r="16" customFormat="false" ht="12.8" hidden="false" customHeight="true" outlineLevel="0" collapsed="false">
      <c r="A16" s="82" t="s">
        <v>104</v>
      </c>
      <c r="B16" s="82"/>
      <c r="C16" s="80"/>
      <c r="D16" s="94" t="n">
        <v>72</v>
      </c>
      <c r="E16" s="87" t="n">
        <v>53</v>
      </c>
      <c r="F16" s="80"/>
      <c r="G16" s="72"/>
      <c r="H16" s="72"/>
      <c r="I16" s="89"/>
      <c r="J16" s="72"/>
      <c r="K16" s="90"/>
      <c r="L16" s="72"/>
    </row>
    <row r="17" customFormat="false" ht="13.05" hidden="false" customHeight="true" outlineLevel="0" collapsed="false">
      <c r="A17" s="82" t="s">
        <v>105</v>
      </c>
      <c r="B17" s="82"/>
      <c r="C17" s="80"/>
      <c r="D17" s="97" t="n">
        <f aca="false">0.62198/(101325/(EXP(77.345+0.0057*(273+D15)- 7235/(273+D15))/(273+D15)^8.2)-1)*D16/100</f>
        <v>0.0221812811253068</v>
      </c>
      <c r="E17" s="97" t="n">
        <f aca="false">0.62198/(101325/(EXP(77.345+0.0057*(273+E15)- 7235/(273+E15))/(273+E15)^8.2)-1)*E16/100</f>
        <v>0.0105090089768624</v>
      </c>
      <c r="F17" s="80"/>
      <c r="G17" s="72"/>
      <c r="H17" s="72"/>
      <c r="I17" s="89"/>
      <c r="J17" s="72"/>
      <c r="K17" s="90"/>
      <c r="L17" s="72"/>
    </row>
    <row r="18" customFormat="false" ht="13.05" hidden="false" customHeight="true" outlineLevel="0" collapsed="false">
      <c r="A18" s="82" t="s">
        <v>106</v>
      </c>
      <c r="B18" s="82"/>
      <c r="C18" s="80"/>
      <c r="D18" s="79"/>
      <c r="E18" s="79"/>
      <c r="F18" s="87" t="n">
        <v>10.5</v>
      </c>
      <c r="G18" s="72"/>
      <c r="H18" s="72"/>
      <c r="I18" s="89"/>
      <c r="J18" s="72"/>
      <c r="K18" s="90"/>
      <c r="L18" s="72"/>
    </row>
    <row r="19" customFormat="false" ht="12.8" hidden="false" customHeight="false" outlineLevel="0" collapsed="false">
      <c r="A19" s="82"/>
      <c r="B19" s="82"/>
      <c r="C19" s="80"/>
      <c r="D19" s="80"/>
      <c r="E19" s="80"/>
      <c r="F19" s="80"/>
      <c r="G19" s="72"/>
      <c r="H19" s="72"/>
      <c r="I19" s="89"/>
      <c r="J19" s="72"/>
      <c r="K19" s="90"/>
      <c r="L19" s="72"/>
    </row>
    <row r="20" customFormat="false" ht="13.05" hidden="false" customHeight="false" outlineLevel="0" collapsed="false">
      <c r="A20" s="80" t="s">
        <v>108</v>
      </c>
      <c r="B20" s="80"/>
      <c r="C20" s="80"/>
      <c r="D20" s="99" t="s">
        <v>109</v>
      </c>
      <c r="E20" s="79"/>
      <c r="F20" s="80"/>
      <c r="G20" s="72"/>
      <c r="H20" s="72"/>
      <c r="I20" s="89"/>
      <c r="J20" s="72"/>
      <c r="K20" s="90"/>
      <c r="L20" s="72"/>
    </row>
    <row r="21" customFormat="false" ht="13.05" hidden="false" customHeight="false" outlineLevel="0" collapsed="false">
      <c r="A21" s="80"/>
      <c r="B21" s="80" t="s">
        <v>110</v>
      </c>
      <c r="C21" s="87" t="s">
        <v>111</v>
      </c>
      <c r="D21" s="100" t="s">
        <v>112</v>
      </c>
      <c r="E21" s="100" t="s">
        <v>113</v>
      </c>
      <c r="F21" s="80"/>
      <c r="G21" s="72"/>
      <c r="H21" s="72"/>
      <c r="I21" s="89"/>
      <c r="J21" s="72"/>
      <c r="K21" s="90"/>
      <c r="L21" s="72"/>
    </row>
    <row r="22" customFormat="false" ht="13.05" hidden="false" customHeight="false" outlineLevel="0" collapsed="false">
      <c r="A22" s="80"/>
      <c r="B22" s="80" t="s">
        <v>114</v>
      </c>
      <c r="C22" s="100" t="s">
        <v>111</v>
      </c>
      <c r="D22" s="87" t="s">
        <v>112</v>
      </c>
      <c r="E22" s="100" t="s">
        <v>113</v>
      </c>
      <c r="F22" s="80"/>
      <c r="G22" s="72"/>
      <c r="H22" s="72"/>
      <c r="I22" s="89"/>
      <c r="J22" s="72"/>
      <c r="K22" s="90"/>
      <c r="L22" s="72"/>
    </row>
    <row r="23" customFormat="false" ht="13.05" hidden="false" customHeight="false" outlineLevel="0" collapsed="false">
      <c r="A23" s="80"/>
      <c r="B23" s="80" t="s">
        <v>115</v>
      </c>
      <c r="C23" s="100" t="s">
        <v>116</v>
      </c>
      <c r="D23" s="87" t="s">
        <v>117</v>
      </c>
      <c r="E23" s="100" t="s">
        <v>118</v>
      </c>
      <c r="F23" s="80"/>
      <c r="G23" s="72"/>
      <c r="H23" s="72"/>
      <c r="I23" s="89"/>
      <c r="J23" s="72"/>
      <c r="K23" s="90"/>
      <c r="L23" s="72"/>
    </row>
    <row r="24" customFormat="false" ht="12.8" hidden="false" customHeight="false" outlineLevel="0" collapsed="false">
      <c r="A24" s="72"/>
      <c r="B24" s="72"/>
      <c r="C24" s="89"/>
      <c r="D24" s="72"/>
      <c r="E24" s="72"/>
      <c r="F24" s="72"/>
      <c r="G24" s="72"/>
      <c r="H24" s="72"/>
      <c r="I24" s="89"/>
      <c r="J24" s="72"/>
      <c r="K24" s="90"/>
      <c r="L24" s="72"/>
    </row>
    <row r="25" customFormat="false" ht="12.8" hidden="false" customHeight="false" outlineLevel="0" collapsed="false">
      <c r="A25" s="101" t="s">
        <v>119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88"/>
      <c r="M25" s="72"/>
    </row>
    <row r="26" customFormat="false" ht="13.05" hidden="false" customHeight="true" outlineLevel="0" collapsed="false">
      <c r="A26" s="79" t="s">
        <v>120</v>
      </c>
      <c r="B26" s="79" t="s">
        <v>121</v>
      </c>
      <c r="C26" s="79"/>
      <c r="D26" s="79"/>
      <c r="E26" s="79"/>
      <c r="F26" s="79" t="s">
        <v>122</v>
      </c>
      <c r="G26" s="79" t="s">
        <v>123</v>
      </c>
      <c r="H26" s="79" t="s">
        <v>97</v>
      </c>
      <c r="I26" s="79" t="s">
        <v>124</v>
      </c>
      <c r="J26" s="79" t="s">
        <v>107</v>
      </c>
      <c r="K26" s="79" t="s">
        <v>124</v>
      </c>
      <c r="L26" s="72"/>
      <c r="M26" s="69"/>
    </row>
    <row r="27" customFormat="false" ht="24.25" hidden="false" customHeight="false" outlineLevel="0" collapsed="false">
      <c r="A27" s="79" t="s">
        <v>125</v>
      </c>
      <c r="B27" s="79"/>
      <c r="C27" s="79"/>
      <c r="D27" s="79"/>
      <c r="E27" s="79"/>
      <c r="F27" s="79" t="s">
        <v>126</v>
      </c>
      <c r="G27" s="79" t="s">
        <v>127</v>
      </c>
      <c r="H27" s="79" t="s">
        <v>128</v>
      </c>
      <c r="I27" s="79" t="s">
        <v>129</v>
      </c>
      <c r="J27" s="79" t="s">
        <v>128</v>
      </c>
      <c r="K27" s="79" t="s">
        <v>129</v>
      </c>
      <c r="L27" s="72"/>
    </row>
    <row r="28" customFormat="false" ht="12.85" hidden="false" customHeight="true" outlineLevel="0" collapsed="false">
      <c r="A28" s="79" t="n">
        <v>1</v>
      </c>
      <c r="B28" s="80" t="s">
        <v>130</v>
      </c>
      <c r="C28" s="80"/>
      <c r="D28" s="80"/>
      <c r="E28" s="80"/>
      <c r="F28" s="87" t="n">
        <f aca="false">3.7*5.3</f>
        <v>19.61</v>
      </c>
      <c r="G28" s="87" t="n">
        <v>2.28</v>
      </c>
      <c r="H28" s="102" t="n">
        <f aca="false">VALUES!$F46+(25.6-$E$9)+($D$9-0.5*$F$12-29.4)</f>
        <v>12.45</v>
      </c>
      <c r="I28" s="103" t="n">
        <f aca="false">F28*G28*H28</f>
        <v>556.64946</v>
      </c>
      <c r="J28" s="102" t="n">
        <f aca="false">VALUES!$I46+(25.6-$E$15)+($D$15-0.5*$F$18-29.4)</f>
        <v>2.95</v>
      </c>
      <c r="K28" s="103" t="n">
        <f aca="false">F28*G28*J28</f>
        <v>131.89686</v>
      </c>
      <c r="L28" s="72"/>
    </row>
    <row r="29" customFormat="false" ht="13.05" hidden="false" customHeight="true" outlineLevel="0" collapsed="false">
      <c r="A29" s="79" t="n">
        <v>2</v>
      </c>
      <c r="B29" s="80" t="s">
        <v>131</v>
      </c>
      <c r="C29" s="80"/>
      <c r="D29" s="80"/>
      <c r="E29" s="80"/>
      <c r="F29" s="87"/>
      <c r="G29" s="87" t="n">
        <v>2.28</v>
      </c>
      <c r="H29" s="102" t="n">
        <f aca="false">VALUES!$F47+(25.6-$E$9)+($D$9-0.5*$F$12-29.4)</f>
        <v>12.85</v>
      </c>
      <c r="I29" s="103" t="n">
        <f aca="false">F29*G29*H29</f>
        <v>0</v>
      </c>
      <c r="J29" s="102" t="n">
        <f aca="false">VALUES!$I47+(25.6-$E$15)+($D$15-0.5*$F$18-29.4)</f>
        <v>4.05</v>
      </c>
      <c r="K29" s="103" t="n">
        <f aca="false">F29*G29*J29</f>
        <v>0</v>
      </c>
      <c r="L29" s="72"/>
    </row>
    <row r="30" customFormat="false" ht="12.8" hidden="false" customHeight="true" outlineLevel="0" collapsed="false">
      <c r="A30" s="79" t="n">
        <v>3</v>
      </c>
      <c r="B30" s="80" t="s">
        <v>132</v>
      </c>
      <c r="C30" s="80"/>
      <c r="D30" s="80"/>
      <c r="E30" s="80"/>
      <c r="F30" s="87"/>
      <c r="G30" s="87" t="n">
        <v>2.28</v>
      </c>
      <c r="H30" s="102" t="n">
        <f aca="false">VALUES!$F48+(25.6-$E$9)+($D$9-0.5*$F$12-29.4)</f>
        <v>12.85</v>
      </c>
      <c r="I30" s="103" t="n">
        <f aca="false">F30*G30*H30</f>
        <v>0</v>
      </c>
      <c r="J30" s="102" t="n">
        <f aca="false">VALUES!$I48+(25.6-$E$15)+($D$15-0.5*$F$18-29.4)</f>
        <v>7.95</v>
      </c>
      <c r="K30" s="103" t="n">
        <f aca="false">F30*G30*J30</f>
        <v>0</v>
      </c>
      <c r="L30" s="72"/>
    </row>
    <row r="31" customFormat="false" ht="13.05" hidden="false" customHeight="true" outlineLevel="0" collapsed="false">
      <c r="A31" s="79" t="n">
        <v>4</v>
      </c>
      <c r="B31" s="80" t="s">
        <v>133</v>
      </c>
      <c r="C31" s="80"/>
      <c r="D31" s="80"/>
      <c r="E31" s="80"/>
      <c r="F31" s="87"/>
      <c r="G31" s="87" t="n">
        <v>2.28</v>
      </c>
      <c r="H31" s="102" t="n">
        <f aca="false">VALUES!$F49+(25.6-$E$9)+($D$9-0.5*$F$12-29.4)</f>
        <v>10.15</v>
      </c>
      <c r="I31" s="103" t="n">
        <f aca="false">F31*G31*H31</f>
        <v>0</v>
      </c>
      <c r="J31" s="102" t="n">
        <f aca="false">VALUES!$I49+(25.6-$E$15)+($D$15-0.5*$F$18-29.4)</f>
        <v>9.55</v>
      </c>
      <c r="K31" s="103" t="n">
        <f aca="false">F31*G31*J31</f>
        <v>0</v>
      </c>
      <c r="L31" s="72"/>
    </row>
    <row r="32" customFormat="false" ht="12.8" hidden="false" customHeight="true" outlineLevel="0" collapsed="false">
      <c r="A32" s="79" t="n">
        <v>5</v>
      </c>
      <c r="B32" s="80" t="s">
        <v>134</v>
      </c>
      <c r="C32" s="80"/>
      <c r="D32" s="80"/>
      <c r="E32" s="80"/>
      <c r="F32" s="87"/>
      <c r="G32" s="87" t="n">
        <v>2.28</v>
      </c>
      <c r="H32" s="102" t="n">
        <f aca="false">VALUES!$F50+(25.6-$E$9)+($D$9-0.5*$F$12-29.4)</f>
        <v>8.95000000000001</v>
      </c>
      <c r="I32" s="103" t="n">
        <f aca="false">F32*G32*H32</f>
        <v>0</v>
      </c>
      <c r="J32" s="102" t="n">
        <f aca="false">VALUES!$I50+(25.6-$E$15)+($D$15-0.5*$F$18-29.4)</f>
        <v>10.65</v>
      </c>
      <c r="K32" s="103" t="n">
        <f aca="false">F32*G32*J32</f>
        <v>0</v>
      </c>
      <c r="L32" s="72"/>
    </row>
    <row r="33" customFormat="false" ht="13.05" hidden="false" customHeight="true" outlineLevel="0" collapsed="false">
      <c r="A33" s="79" t="n">
        <v>6</v>
      </c>
      <c r="B33" s="80" t="s">
        <v>135</v>
      </c>
      <c r="C33" s="80"/>
      <c r="D33" s="80"/>
      <c r="E33" s="80"/>
      <c r="F33" s="87"/>
      <c r="G33" s="87" t="n">
        <v>2.28</v>
      </c>
      <c r="H33" s="102" t="n">
        <f aca="false">VALUES!$F51+(25.6-$E$9)+($D$9-0.5*$F$12-29.4)</f>
        <v>10.95</v>
      </c>
      <c r="I33" s="103" t="n">
        <f aca="false">F33*G33*H33</f>
        <v>0</v>
      </c>
      <c r="J33" s="102" t="n">
        <f aca="false">VALUES!$I51+(25.6-$E$15)+($D$15-0.5*$F$18-29.4)</f>
        <v>10.35</v>
      </c>
      <c r="K33" s="103" t="n">
        <f aca="false">F33*G33*J33</f>
        <v>0</v>
      </c>
      <c r="L33" s="72"/>
    </row>
    <row r="34" customFormat="false" ht="23.85" hidden="false" customHeight="true" outlineLevel="0" collapsed="false">
      <c r="A34" s="79" t="n">
        <v>7</v>
      </c>
      <c r="B34" s="80" t="s">
        <v>136</v>
      </c>
      <c r="C34" s="80"/>
      <c r="D34" s="80"/>
      <c r="E34" s="80"/>
      <c r="F34" s="87"/>
      <c r="G34" s="87" t="n">
        <v>2.28</v>
      </c>
      <c r="H34" s="102" t="n">
        <f aca="false">VALUES!$F52+(25.6-$E$9)+($D$9-0.5*$F$12-29.4)</f>
        <v>14.05</v>
      </c>
      <c r="I34" s="103" t="n">
        <f aca="false">F34*G34*H34</f>
        <v>0</v>
      </c>
      <c r="J34" s="102" t="n">
        <f aca="false">VALUES!$I52+(25.6-$E$15)+($D$15-0.5*$F$18-29.4)</f>
        <v>9.15</v>
      </c>
      <c r="K34" s="103" t="n">
        <f aca="false">F34*G34*J34</f>
        <v>0</v>
      </c>
      <c r="L34" s="72"/>
      <c r="M34" s="104" t="s">
        <v>137</v>
      </c>
      <c r="N34" s="104" t="s">
        <v>138</v>
      </c>
    </row>
    <row r="35" customFormat="false" ht="13.05" hidden="false" customHeight="true" outlineLevel="0" collapsed="false">
      <c r="A35" s="79" t="n">
        <v>8</v>
      </c>
      <c r="B35" s="80" t="s">
        <v>139</v>
      </c>
      <c r="C35" s="80"/>
      <c r="D35" s="80"/>
      <c r="E35" s="80"/>
      <c r="F35" s="87"/>
      <c r="G35" s="87" t="n">
        <v>2.28</v>
      </c>
      <c r="H35" s="102" t="n">
        <f aca="false">VALUES!$F53+(25.6-$E$9)+($D$9-0.5*$F$12-29.4)</f>
        <v>13.65</v>
      </c>
      <c r="I35" s="103" t="n">
        <f aca="false">F35*G35*H35</f>
        <v>0</v>
      </c>
      <c r="J35" s="102" t="n">
        <f aca="false">VALUES!$I53+(25.6-$E$15)+($D$15-0.5*$F$18-29.4)</f>
        <v>4.85</v>
      </c>
      <c r="K35" s="103" t="n">
        <f aca="false">F35*G35*J35</f>
        <v>0</v>
      </c>
      <c r="L35" s="72"/>
      <c r="M35" s="105"/>
      <c r="N35" s="105"/>
      <c r="O35" s="104" t="n">
        <f aca="false">VALUES!$C$21</f>
        <v>6</v>
      </c>
      <c r="P35" s="104" t="n">
        <f aca="false">VALUES!$D$21</f>
        <v>7</v>
      </c>
      <c r="Q35" s="104" t="n">
        <f aca="false">VALUES!$E$21</f>
        <v>8</v>
      </c>
      <c r="R35" s="104" t="n">
        <f aca="false">VALUES!$F$21</f>
        <v>9</v>
      </c>
      <c r="S35" s="104" t="n">
        <f aca="false">VALUES!$G$21</f>
        <v>10</v>
      </c>
      <c r="T35" s="104" t="n">
        <f aca="false">VALUES!$H$21</f>
        <v>11</v>
      </c>
      <c r="U35" s="104" t="n">
        <f aca="false">VALUES!$I$21</f>
        <v>12</v>
      </c>
      <c r="V35" s="104" t="n">
        <f aca="false">VALUES!$J$21</f>
        <v>13</v>
      </c>
      <c r="W35" s="104" t="n">
        <f aca="false">VALUES!$K$21</f>
        <v>14</v>
      </c>
      <c r="X35" s="104" t="n">
        <f aca="false">VALUES!$L$21</f>
        <v>15</v>
      </c>
      <c r="Y35" s="104" t="n">
        <f aca="false">VALUES!$M$21</f>
        <v>16</v>
      </c>
      <c r="Z35" s="104" t="n">
        <f aca="false">VALUES!$N$21</f>
        <v>17</v>
      </c>
      <c r="AA35" s="104" t="n">
        <f aca="false">VALUES!$O$21</f>
        <v>18</v>
      </c>
    </row>
    <row r="36" customFormat="false" ht="12.85" hidden="false" customHeight="true" outlineLevel="0" collapsed="false">
      <c r="A36" s="79" t="n">
        <v>9</v>
      </c>
      <c r="B36" s="80" t="s">
        <v>140</v>
      </c>
      <c r="C36" s="80"/>
      <c r="D36" s="80"/>
      <c r="E36" s="80"/>
      <c r="F36" s="87" t="n">
        <f aca="false">F28*0.3</f>
        <v>5.883</v>
      </c>
      <c r="G36" s="87" t="n">
        <v>5.23</v>
      </c>
      <c r="H36" s="102" t="n">
        <f aca="false">M36+(25.6-$E$9)+($D$9-0.5*$F$12-29.4)</f>
        <v>9.85000000000001</v>
      </c>
      <c r="I36" s="103" t="n">
        <f aca="false">F36*G36*H36</f>
        <v>303.0656865</v>
      </c>
      <c r="J36" s="102" t="n">
        <f aca="false">N36+(25.6-$E$15)+($D$15-0.5*$F$18-29.4)</f>
        <v>4.95</v>
      </c>
      <c r="K36" s="103" t="n">
        <f aca="false">F36*G36*J36</f>
        <v>152.3020455</v>
      </c>
      <c r="L36" s="72"/>
      <c r="M36" s="106" t="n">
        <f aca="false">INDEX(O36:AA36,1,MATCH(MAX($O$64:$AA$64),$O$64:$AA$64,0))</f>
        <v>6.7</v>
      </c>
      <c r="N36" s="107" t="n">
        <f aca="false">INDEX(O36:AA36,1,MATCH(MAX($O$65:$AA$65),$O$65:$AA$65,0))</f>
        <v>6.7</v>
      </c>
      <c r="O36" s="108" t="n">
        <f aca="false">VALUES!C$61</f>
        <v>-1.1</v>
      </c>
      <c r="P36" s="108" t="n">
        <f aca="false">VALUES!D$61</f>
        <v>-1.1</v>
      </c>
      <c r="Q36" s="108" t="n">
        <f aca="false">VALUES!E$61</f>
        <v>0</v>
      </c>
      <c r="R36" s="108" t="n">
        <f aca="false">VALUES!F$61</f>
        <v>1.1</v>
      </c>
      <c r="S36" s="108" t="n">
        <f aca="false">VALUES!G$61</f>
        <v>2.2</v>
      </c>
      <c r="T36" s="108" t="n">
        <f aca="false">VALUES!H$61</f>
        <v>3.9</v>
      </c>
      <c r="U36" s="108" t="n">
        <f aca="false">VALUES!I$61</f>
        <v>5</v>
      </c>
      <c r="V36" s="108" t="n">
        <f aca="false">VALUES!J$61</f>
        <v>6.7</v>
      </c>
      <c r="W36" s="108" t="n">
        <f aca="false">VALUES!K$61</f>
        <v>7.2</v>
      </c>
      <c r="X36" s="108" t="n">
        <f aca="false">VALUES!L$61</f>
        <v>7.8</v>
      </c>
      <c r="Y36" s="108" t="n">
        <f aca="false">VALUES!M$61</f>
        <v>7.8</v>
      </c>
      <c r="Z36" s="108" t="n">
        <f aca="false">VALUES!N$61</f>
        <v>7.2</v>
      </c>
      <c r="AA36" s="108" t="n">
        <f aca="false">VALUES!O$61</f>
        <v>6.7</v>
      </c>
    </row>
    <row r="37" customFormat="false" ht="13.05" hidden="false" customHeight="true" outlineLevel="0" collapsed="false">
      <c r="A37" s="79" t="n">
        <v>10</v>
      </c>
      <c r="B37" s="80" t="s">
        <v>141</v>
      </c>
      <c r="C37" s="80"/>
      <c r="D37" s="80"/>
      <c r="E37" s="80"/>
      <c r="F37" s="87"/>
      <c r="G37" s="87" t="n">
        <v>5.23</v>
      </c>
      <c r="H37" s="102" t="n">
        <f aca="false">M37+(25.6-$E$9)+($D$9-0.5*$F$12-29.4)</f>
        <v>9.85000000000001</v>
      </c>
      <c r="I37" s="103" t="n">
        <f aca="false">F37*G37*H37</f>
        <v>0</v>
      </c>
      <c r="J37" s="102" t="n">
        <f aca="false">N37+(25.6-$E$15)+($D$15-0.5*$F$18-29.4)</f>
        <v>4.95</v>
      </c>
      <c r="K37" s="103" t="n">
        <f aca="false">F37*G37*J37</f>
        <v>0</v>
      </c>
      <c r="L37" s="72"/>
      <c r="M37" s="109" t="n">
        <f aca="false">INDEX(O37:AA37,1,MATCH(MAX($O$64:$AA$64),$O$64:$AA$64,0))</f>
        <v>6.7</v>
      </c>
      <c r="N37" s="110" t="n">
        <f aca="false">INDEX(O37:AA37,1,MATCH(MAX($O$65:$AA$65),$O$65:$AA$65,0))</f>
        <v>6.7</v>
      </c>
      <c r="O37" s="108" t="n">
        <f aca="false">VALUES!C$61</f>
        <v>-1.1</v>
      </c>
      <c r="P37" s="108" t="n">
        <f aca="false">VALUES!D$61</f>
        <v>-1.1</v>
      </c>
      <c r="Q37" s="108" t="n">
        <f aca="false">VALUES!E$61</f>
        <v>0</v>
      </c>
      <c r="R37" s="108" t="n">
        <f aca="false">VALUES!F$61</f>
        <v>1.1</v>
      </c>
      <c r="S37" s="108" t="n">
        <f aca="false">VALUES!G$61</f>
        <v>2.2</v>
      </c>
      <c r="T37" s="108" t="n">
        <f aca="false">VALUES!H$61</f>
        <v>3.9</v>
      </c>
      <c r="U37" s="108" t="n">
        <f aca="false">VALUES!I$61</f>
        <v>5</v>
      </c>
      <c r="V37" s="108" t="n">
        <f aca="false">VALUES!J$61</f>
        <v>6.7</v>
      </c>
      <c r="W37" s="108" t="n">
        <f aca="false">VALUES!K$61</f>
        <v>7.2</v>
      </c>
      <c r="X37" s="108" t="n">
        <f aca="false">VALUES!L$61</f>
        <v>7.8</v>
      </c>
      <c r="Y37" s="108" t="n">
        <f aca="false">VALUES!M$61</f>
        <v>7.8</v>
      </c>
      <c r="Z37" s="108" t="n">
        <f aca="false">VALUES!N$61</f>
        <v>7.2</v>
      </c>
      <c r="AA37" s="108" t="n">
        <f aca="false">VALUES!O$61</f>
        <v>6.7</v>
      </c>
    </row>
    <row r="38" customFormat="false" ht="12.8" hidden="false" customHeight="true" outlineLevel="0" collapsed="false">
      <c r="A38" s="79" t="n">
        <v>11</v>
      </c>
      <c r="B38" s="80" t="s">
        <v>142</v>
      </c>
      <c r="C38" s="80"/>
      <c r="D38" s="80"/>
      <c r="E38" s="80"/>
      <c r="F38" s="87"/>
      <c r="G38" s="87" t="n">
        <v>5.23</v>
      </c>
      <c r="H38" s="102" t="n">
        <f aca="false">M38+(25.6-$E$9)+($D$9-0.5*$F$12-29.4)</f>
        <v>9.85000000000001</v>
      </c>
      <c r="I38" s="103" t="n">
        <f aca="false">F38*G38*H38</f>
        <v>0</v>
      </c>
      <c r="J38" s="102" t="n">
        <f aca="false">N38+(25.6-$E$15)+($D$15-0.5*$F$18-29.4)</f>
        <v>4.95</v>
      </c>
      <c r="K38" s="103" t="n">
        <f aca="false">F38*G38*J38</f>
        <v>0</v>
      </c>
      <c r="L38" s="72"/>
      <c r="M38" s="109" t="n">
        <f aca="false">INDEX(O38:AA38,1,MATCH(MAX($O$64:$AA$64),$O$64:$AA$64,0))</f>
        <v>6.7</v>
      </c>
      <c r="N38" s="110" t="n">
        <f aca="false">INDEX(O38:AA38,1,MATCH(MAX($O$65:$AA$65),$O$65:$AA$65,0))</f>
        <v>6.7</v>
      </c>
      <c r="O38" s="108" t="n">
        <f aca="false">VALUES!C$61</f>
        <v>-1.1</v>
      </c>
      <c r="P38" s="108" t="n">
        <f aca="false">VALUES!D$61</f>
        <v>-1.1</v>
      </c>
      <c r="Q38" s="108" t="n">
        <f aca="false">VALUES!E$61</f>
        <v>0</v>
      </c>
      <c r="R38" s="108" t="n">
        <f aca="false">VALUES!F$61</f>
        <v>1.1</v>
      </c>
      <c r="S38" s="108" t="n">
        <f aca="false">VALUES!G$61</f>
        <v>2.2</v>
      </c>
      <c r="T38" s="108" t="n">
        <f aca="false">VALUES!H$61</f>
        <v>3.9</v>
      </c>
      <c r="U38" s="108" t="n">
        <f aca="false">VALUES!I$61</f>
        <v>5</v>
      </c>
      <c r="V38" s="108" t="n">
        <f aca="false">VALUES!J$61</f>
        <v>6.7</v>
      </c>
      <c r="W38" s="108" t="n">
        <f aca="false">VALUES!K$61</f>
        <v>7.2</v>
      </c>
      <c r="X38" s="108" t="n">
        <f aca="false">VALUES!L$61</f>
        <v>7.8</v>
      </c>
      <c r="Y38" s="108" t="n">
        <f aca="false">VALUES!M$61</f>
        <v>7.8</v>
      </c>
      <c r="Z38" s="108" t="n">
        <f aca="false">VALUES!N$61</f>
        <v>7.2</v>
      </c>
      <c r="AA38" s="108" t="n">
        <f aca="false">VALUES!O$61</f>
        <v>6.7</v>
      </c>
    </row>
    <row r="39" customFormat="false" ht="13.05" hidden="false" customHeight="true" outlineLevel="0" collapsed="false">
      <c r="A39" s="79" t="n">
        <v>12</v>
      </c>
      <c r="B39" s="80" t="s">
        <v>143</v>
      </c>
      <c r="C39" s="80"/>
      <c r="D39" s="80"/>
      <c r="E39" s="80"/>
      <c r="F39" s="87"/>
      <c r="G39" s="87" t="n">
        <v>5.23</v>
      </c>
      <c r="H39" s="102" t="n">
        <f aca="false">M39+(25.6-$E$9)+($D$9-0.5*$F$12-29.4)</f>
        <v>9.85000000000001</v>
      </c>
      <c r="I39" s="103" t="n">
        <f aca="false">F39*G39*H39</f>
        <v>0</v>
      </c>
      <c r="J39" s="102" t="n">
        <f aca="false">N39+(25.6-$E$15)+($D$15-0.5*$F$18-29.4)</f>
        <v>4.95</v>
      </c>
      <c r="K39" s="103" t="n">
        <f aca="false">F39*G39*J39</f>
        <v>0</v>
      </c>
      <c r="L39" s="72"/>
      <c r="M39" s="109" t="n">
        <f aca="false">INDEX(O39:AA39,1,MATCH(MAX($O$64:$AA$64),$O$64:$AA$64,0))</f>
        <v>6.7</v>
      </c>
      <c r="N39" s="110" t="n">
        <f aca="false">INDEX(O39:AA39,1,MATCH(MAX($O$65:$AA$65),$O$65:$AA$65,0))</f>
        <v>6.7</v>
      </c>
      <c r="O39" s="108" t="n">
        <f aca="false">VALUES!C$61</f>
        <v>-1.1</v>
      </c>
      <c r="P39" s="108" t="n">
        <f aca="false">VALUES!D$61</f>
        <v>-1.1</v>
      </c>
      <c r="Q39" s="108" t="n">
        <f aca="false">VALUES!E$61</f>
        <v>0</v>
      </c>
      <c r="R39" s="108" t="n">
        <f aca="false">VALUES!F$61</f>
        <v>1.1</v>
      </c>
      <c r="S39" s="108" t="n">
        <f aca="false">VALUES!G$61</f>
        <v>2.2</v>
      </c>
      <c r="T39" s="108" t="n">
        <f aca="false">VALUES!H$61</f>
        <v>3.9</v>
      </c>
      <c r="U39" s="108" t="n">
        <f aca="false">VALUES!I$61</f>
        <v>5</v>
      </c>
      <c r="V39" s="108" t="n">
        <f aca="false">VALUES!J$61</f>
        <v>6.7</v>
      </c>
      <c r="W39" s="108" t="n">
        <f aca="false">VALUES!K$61</f>
        <v>7.2</v>
      </c>
      <c r="X39" s="108" t="n">
        <f aca="false">VALUES!L$61</f>
        <v>7.8</v>
      </c>
      <c r="Y39" s="108" t="n">
        <f aca="false">VALUES!M$61</f>
        <v>7.8</v>
      </c>
      <c r="Z39" s="108" t="n">
        <f aca="false">VALUES!N$61</f>
        <v>7.2</v>
      </c>
      <c r="AA39" s="108" t="n">
        <f aca="false">VALUES!O$61</f>
        <v>6.7</v>
      </c>
    </row>
    <row r="40" customFormat="false" ht="12.8" hidden="false" customHeight="true" outlineLevel="0" collapsed="false">
      <c r="A40" s="79" t="n">
        <v>13</v>
      </c>
      <c r="B40" s="80" t="s">
        <v>144</v>
      </c>
      <c r="C40" s="80"/>
      <c r="D40" s="80"/>
      <c r="E40" s="80"/>
      <c r="F40" s="87"/>
      <c r="G40" s="87" t="n">
        <v>5.23</v>
      </c>
      <c r="H40" s="102" t="n">
        <f aca="false">M40+(25.6-$E$9)+($D$9-0.5*$F$12-29.4)</f>
        <v>9.85000000000001</v>
      </c>
      <c r="I40" s="103" t="n">
        <f aca="false">F40*G40*H40</f>
        <v>0</v>
      </c>
      <c r="J40" s="102" t="n">
        <f aca="false">N40+(25.6-$E$15)+($D$15-0.5*$F$18-29.4)</f>
        <v>4.95</v>
      </c>
      <c r="K40" s="103" t="n">
        <f aca="false">F40*G40*J40</f>
        <v>0</v>
      </c>
      <c r="L40" s="72"/>
      <c r="M40" s="109" t="n">
        <f aca="false">INDEX(O40:AA40,1,MATCH(MAX($O$64:$AA$64),$O$64:$AA$64,0))</f>
        <v>6.7</v>
      </c>
      <c r="N40" s="110" t="n">
        <f aca="false">INDEX(O40:AA40,1,MATCH(MAX($O$65:$AA$65),$O$65:$AA$65,0))</f>
        <v>6.7</v>
      </c>
      <c r="O40" s="108" t="n">
        <f aca="false">VALUES!C$61</f>
        <v>-1.1</v>
      </c>
      <c r="P40" s="108" t="n">
        <f aca="false">VALUES!D$61</f>
        <v>-1.1</v>
      </c>
      <c r="Q40" s="108" t="n">
        <f aca="false">VALUES!E$61</f>
        <v>0</v>
      </c>
      <c r="R40" s="108" t="n">
        <f aca="false">VALUES!F$61</f>
        <v>1.1</v>
      </c>
      <c r="S40" s="108" t="n">
        <f aca="false">VALUES!G$61</f>
        <v>2.2</v>
      </c>
      <c r="T40" s="108" t="n">
        <f aca="false">VALUES!H$61</f>
        <v>3.9</v>
      </c>
      <c r="U40" s="108" t="n">
        <f aca="false">VALUES!I$61</f>
        <v>5</v>
      </c>
      <c r="V40" s="108" t="n">
        <f aca="false">VALUES!J$61</f>
        <v>6.7</v>
      </c>
      <c r="W40" s="108" t="n">
        <f aca="false">VALUES!K$61</f>
        <v>7.2</v>
      </c>
      <c r="X40" s="108" t="n">
        <f aca="false">VALUES!L$61</f>
        <v>7.8</v>
      </c>
      <c r="Y40" s="108" t="n">
        <f aca="false">VALUES!M$61</f>
        <v>7.8</v>
      </c>
      <c r="Z40" s="108" t="n">
        <f aca="false">VALUES!N$61</f>
        <v>7.2</v>
      </c>
      <c r="AA40" s="108" t="n">
        <f aca="false">VALUES!O$61</f>
        <v>6.7</v>
      </c>
    </row>
    <row r="41" customFormat="false" ht="13.05" hidden="false" customHeight="true" outlineLevel="0" collapsed="false">
      <c r="A41" s="79" t="n">
        <v>14</v>
      </c>
      <c r="B41" s="80" t="s">
        <v>145</v>
      </c>
      <c r="C41" s="80"/>
      <c r="D41" s="80"/>
      <c r="E41" s="80"/>
      <c r="F41" s="87"/>
      <c r="G41" s="87" t="n">
        <v>5.23</v>
      </c>
      <c r="H41" s="102" t="n">
        <f aca="false">M41+(25.6-$E$9)+($D$9-0.5*$F$12-29.4)</f>
        <v>9.85000000000001</v>
      </c>
      <c r="I41" s="103" t="n">
        <f aca="false">F41*G41*H41</f>
        <v>0</v>
      </c>
      <c r="J41" s="102" t="n">
        <f aca="false">N41+(25.6-$E$15)+($D$15-0.5*$F$18-29.4)</f>
        <v>4.95</v>
      </c>
      <c r="K41" s="103" t="n">
        <f aca="false">F41*G41*J41</f>
        <v>0</v>
      </c>
      <c r="L41" s="72"/>
      <c r="M41" s="109" t="n">
        <f aca="false">INDEX(O41:AA41,1,MATCH(MAX($O$64:$AA$64),$O$64:$AA$64,0))</f>
        <v>6.7</v>
      </c>
      <c r="N41" s="110" t="n">
        <f aca="false">INDEX(O41:AA41,1,MATCH(MAX($O$65:$AA$65),$O$65:$AA$65,0))</f>
        <v>6.7</v>
      </c>
      <c r="O41" s="108" t="n">
        <f aca="false">VALUES!C$61</f>
        <v>-1.1</v>
      </c>
      <c r="P41" s="108" t="n">
        <f aca="false">VALUES!D$61</f>
        <v>-1.1</v>
      </c>
      <c r="Q41" s="108" t="n">
        <f aca="false">VALUES!E$61</f>
        <v>0</v>
      </c>
      <c r="R41" s="108" t="n">
        <f aca="false">VALUES!F$61</f>
        <v>1.1</v>
      </c>
      <c r="S41" s="108" t="n">
        <f aca="false">VALUES!G$61</f>
        <v>2.2</v>
      </c>
      <c r="T41" s="108" t="n">
        <f aca="false">VALUES!H$61</f>
        <v>3.9</v>
      </c>
      <c r="U41" s="108" t="n">
        <f aca="false">VALUES!I$61</f>
        <v>5</v>
      </c>
      <c r="V41" s="108" t="n">
        <f aca="false">VALUES!J$61</f>
        <v>6.7</v>
      </c>
      <c r="W41" s="108" t="n">
        <f aca="false">VALUES!K$61</f>
        <v>7.2</v>
      </c>
      <c r="X41" s="108" t="n">
        <f aca="false">VALUES!L$61</f>
        <v>7.8</v>
      </c>
      <c r="Y41" s="108" t="n">
        <f aca="false">VALUES!M$61</f>
        <v>7.8</v>
      </c>
      <c r="Z41" s="108" t="n">
        <f aca="false">VALUES!N$61</f>
        <v>7.2</v>
      </c>
      <c r="AA41" s="108" t="n">
        <f aca="false">VALUES!O$61</f>
        <v>6.7</v>
      </c>
    </row>
    <row r="42" customFormat="false" ht="13.05" hidden="false" customHeight="true" outlineLevel="0" collapsed="false">
      <c r="A42" s="79" t="n">
        <v>15</v>
      </c>
      <c r="B42" s="80" t="s">
        <v>146</v>
      </c>
      <c r="C42" s="80"/>
      <c r="D42" s="80"/>
      <c r="E42" s="80"/>
      <c r="F42" s="87"/>
      <c r="G42" s="87" t="n">
        <v>5.23</v>
      </c>
      <c r="H42" s="102" t="n">
        <f aca="false">M42+(25.6-$E$9)+($D$9-0.5*$F$12-29.4)</f>
        <v>9.85000000000001</v>
      </c>
      <c r="I42" s="103" t="n">
        <f aca="false">F42*G42*H42</f>
        <v>0</v>
      </c>
      <c r="J42" s="102" t="n">
        <f aca="false">N42+(25.6-$E$15)+($D$15-0.5*$F$18-29.4)</f>
        <v>4.95</v>
      </c>
      <c r="K42" s="103" t="n">
        <f aca="false">F42*G42*J42</f>
        <v>0</v>
      </c>
      <c r="L42" s="72"/>
      <c r="M42" s="109" t="n">
        <f aca="false">INDEX(O42:AA42,1,MATCH(MAX($O$64:$AA$64),$O$64:$AA$64,0))</f>
        <v>6.7</v>
      </c>
      <c r="N42" s="110" t="n">
        <f aca="false">INDEX(O42:AA42,1,MATCH(MAX($O$65:$AA$65),$O$65:$AA$65,0))</f>
        <v>6.7</v>
      </c>
      <c r="O42" s="108" t="n">
        <f aca="false">VALUES!C$61</f>
        <v>-1.1</v>
      </c>
      <c r="P42" s="108" t="n">
        <f aca="false">VALUES!D$61</f>
        <v>-1.1</v>
      </c>
      <c r="Q42" s="108" t="n">
        <f aca="false">VALUES!E$61</f>
        <v>0</v>
      </c>
      <c r="R42" s="108" t="n">
        <f aca="false">VALUES!F$61</f>
        <v>1.1</v>
      </c>
      <c r="S42" s="108" t="n">
        <f aca="false">VALUES!G$61</f>
        <v>2.2</v>
      </c>
      <c r="T42" s="108" t="n">
        <f aca="false">VALUES!H$61</f>
        <v>3.9</v>
      </c>
      <c r="U42" s="108" t="n">
        <f aca="false">VALUES!I$61</f>
        <v>5</v>
      </c>
      <c r="V42" s="108" t="n">
        <f aca="false">VALUES!J$61</f>
        <v>6.7</v>
      </c>
      <c r="W42" s="108" t="n">
        <f aca="false">VALUES!K$61</f>
        <v>7.2</v>
      </c>
      <c r="X42" s="108" t="n">
        <f aca="false">VALUES!L$61</f>
        <v>7.8</v>
      </c>
      <c r="Y42" s="108" t="n">
        <f aca="false">VALUES!M$61</f>
        <v>7.8</v>
      </c>
      <c r="Z42" s="108" t="n">
        <f aca="false">VALUES!N$61</f>
        <v>7.2</v>
      </c>
      <c r="AA42" s="108" t="n">
        <f aca="false">VALUES!O$61</f>
        <v>6.7</v>
      </c>
    </row>
    <row r="43" customFormat="false" ht="13.05" hidden="false" customHeight="true" outlineLevel="0" collapsed="false">
      <c r="A43" s="79" t="n">
        <v>16</v>
      </c>
      <c r="B43" s="80" t="s">
        <v>147</v>
      </c>
      <c r="C43" s="80"/>
      <c r="D43" s="80"/>
      <c r="E43" s="80"/>
      <c r="F43" s="87"/>
      <c r="G43" s="87" t="n">
        <v>5.23</v>
      </c>
      <c r="H43" s="102" t="n">
        <f aca="false">M43+(25.6-$E$9)+($D$9-0.5*$F$12-29.4)</f>
        <v>9.85000000000001</v>
      </c>
      <c r="I43" s="103" t="n">
        <f aca="false">F43*G43*H43</f>
        <v>0</v>
      </c>
      <c r="J43" s="102" t="n">
        <f aca="false">N43+(25.6-$E$15)+($D$15-0.5*$F$18-29.4)</f>
        <v>4.95</v>
      </c>
      <c r="K43" s="103" t="n">
        <f aca="false">F43*G43*J43</f>
        <v>0</v>
      </c>
      <c r="L43" s="72"/>
      <c r="M43" s="109" t="n">
        <f aca="false">INDEX(O43:AA43,1,MATCH(MAX($O$64:$AA$64),$O$64:$AA$64,0))</f>
        <v>6.7</v>
      </c>
      <c r="N43" s="110" t="n">
        <f aca="false">INDEX(O43:AA43,1,MATCH(MAX($O$65:$AA$65),$O$65:$AA$65,0))</f>
        <v>6.7</v>
      </c>
      <c r="O43" s="108" t="n">
        <f aca="false">VALUES!C$61</f>
        <v>-1.1</v>
      </c>
      <c r="P43" s="108" t="n">
        <f aca="false">VALUES!D$61</f>
        <v>-1.1</v>
      </c>
      <c r="Q43" s="108" t="n">
        <f aca="false">VALUES!E$61</f>
        <v>0</v>
      </c>
      <c r="R43" s="108" t="n">
        <f aca="false">VALUES!F$61</f>
        <v>1.1</v>
      </c>
      <c r="S43" s="108" t="n">
        <f aca="false">VALUES!G$61</f>
        <v>2.2</v>
      </c>
      <c r="T43" s="108" t="n">
        <f aca="false">VALUES!H$61</f>
        <v>3.9</v>
      </c>
      <c r="U43" s="108" t="n">
        <f aca="false">VALUES!I$61</f>
        <v>5</v>
      </c>
      <c r="V43" s="108" t="n">
        <f aca="false">VALUES!J$61</f>
        <v>6.7</v>
      </c>
      <c r="W43" s="108" t="n">
        <f aca="false">VALUES!K$61</f>
        <v>7.2</v>
      </c>
      <c r="X43" s="108" t="n">
        <f aca="false">VALUES!L$61</f>
        <v>7.8</v>
      </c>
      <c r="Y43" s="108" t="n">
        <f aca="false">VALUES!M$61</f>
        <v>7.8</v>
      </c>
      <c r="Z43" s="108" t="n">
        <f aca="false">VALUES!N$61</f>
        <v>7.2</v>
      </c>
      <c r="AA43" s="108" t="n">
        <f aca="false">VALUES!O$61</f>
        <v>6.7</v>
      </c>
    </row>
    <row r="44" customFormat="false" ht="12.8" hidden="false" customHeight="true" outlineLevel="0" collapsed="false">
      <c r="A44" s="79" t="n">
        <v>17</v>
      </c>
      <c r="B44" s="80" t="s">
        <v>148</v>
      </c>
      <c r="C44" s="80"/>
      <c r="D44" s="80"/>
      <c r="E44" s="80"/>
      <c r="F44" s="87" t="n">
        <f aca="false">(7+7+5.3)*4.2</f>
        <v>81.06</v>
      </c>
      <c r="G44" s="87" t="n">
        <v>2.28</v>
      </c>
      <c r="H44" s="102" t="n">
        <f aca="false">$D$9-$E$9-3</f>
        <v>9.2</v>
      </c>
      <c r="I44" s="103" t="n">
        <f aca="false">F44*G44*H44</f>
        <v>1700.31456</v>
      </c>
      <c r="J44" s="102" t="n">
        <f aca="false">$D$15-$E$15-3</f>
        <v>4.3</v>
      </c>
      <c r="K44" s="103" t="n">
        <f aca="false">F44*G44*J44</f>
        <v>794.71224</v>
      </c>
      <c r="L44" s="72"/>
      <c r="M44" s="111"/>
      <c r="N44" s="111"/>
    </row>
    <row r="45" customFormat="false" ht="13.05" hidden="false" customHeight="true" outlineLevel="0" collapsed="false">
      <c r="A45" s="79" t="n">
        <v>18</v>
      </c>
      <c r="B45" s="80" t="s">
        <v>149</v>
      </c>
      <c r="C45" s="80"/>
      <c r="D45" s="80"/>
      <c r="E45" s="80"/>
      <c r="F45" s="87"/>
      <c r="G45" s="87" t="n">
        <v>7.1</v>
      </c>
      <c r="H45" s="102" t="n">
        <f aca="false">$D$9-$E$9-3</f>
        <v>9.2</v>
      </c>
      <c r="I45" s="103" t="n">
        <f aca="false">F45*G45*H45</f>
        <v>0</v>
      </c>
      <c r="J45" s="102" t="n">
        <f aca="false">$D$15-$E$15-3</f>
        <v>4.3</v>
      </c>
      <c r="K45" s="103" t="n">
        <f aca="false">F45*G45*J45</f>
        <v>0</v>
      </c>
      <c r="L45" s="72"/>
      <c r="M45" s="111"/>
      <c r="N45" s="111"/>
    </row>
    <row r="46" customFormat="false" ht="12.8" hidden="false" customHeight="true" outlineLevel="0" collapsed="false">
      <c r="A46" s="79" t="n">
        <v>19</v>
      </c>
      <c r="B46" s="80" t="s">
        <v>150</v>
      </c>
      <c r="C46" s="80"/>
      <c r="D46" s="80"/>
      <c r="E46" s="80"/>
      <c r="F46" s="87"/>
      <c r="G46" s="87" t="n">
        <v>3.19</v>
      </c>
      <c r="H46" s="102" t="n">
        <f aca="false">$D$9-$E$9-3</f>
        <v>9.2</v>
      </c>
      <c r="I46" s="103" t="n">
        <f aca="false">F46*G46*H46</f>
        <v>0</v>
      </c>
      <c r="J46" s="102" t="n">
        <f aca="false">$D$15-$E$15-3</f>
        <v>4.3</v>
      </c>
      <c r="K46" s="103" t="n">
        <f aca="false">F46*G46*J46</f>
        <v>0</v>
      </c>
      <c r="L46" s="72"/>
      <c r="M46" s="111"/>
      <c r="N46" s="111"/>
    </row>
    <row r="47" customFormat="false" ht="12.85" hidden="false" customHeight="true" outlineLevel="0" collapsed="false">
      <c r="A47" s="79" t="n">
        <v>20</v>
      </c>
      <c r="B47" s="80" t="s">
        <v>151</v>
      </c>
      <c r="C47" s="80"/>
      <c r="D47" s="80"/>
      <c r="E47" s="80"/>
      <c r="F47" s="205" t="n">
        <f aca="false">B85</f>
        <v>37.1</v>
      </c>
      <c r="G47" s="87" t="n">
        <v>0.7</v>
      </c>
      <c r="H47" s="102" t="n">
        <f aca="false">VALUES!$F$39+(25.6-$E$9)+($D$9-0.5*$F$12-29.4)</f>
        <v>28.65</v>
      </c>
      <c r="I47" s="103" t="n">
        <f aca="false">F47*G47*H47</f>
        <v>744.0405</v>
      </c>
      <c r="J47" s="102" t="n">
        <f aca="false">VALUES!$I$39+(25.6-$E$15)+($D$15-0.5*$F$18-29.4)</f>
        <v>22.75</v>
      </c>
      <c r="K47" s="103" t="n">
        <f aca="false">F47*G47*J47</f>
        <v>590.8175</v>
      </c>
      <c r="M47" s="111"/>
      <c r="N47" s="111"/>
    </row>
    <row r="48" customFormat="false" ht="24.25" hidden="false" customHeight="true" outlineLevel="0" collapsed="false">
      <c r="A48" s="79" t="n">
        <v>21</v>
      </c>
      <c r="B48" s="80" t="s">
        <v>152</v>
      </c>
      <c r="C48" s="80"/>
      <c r="D48" s="80"/>
      <c r="E48" s="80"/>
      <c r="F48" s="87" t="n">
        <f aca="false">B85</f>
        <v>37.1</v>
      </c>
      <c r="G48" s="87" t="n">
        <v>3.19</v>
      </c>
      <c r="H48" s="102" t="n">
        <f aca="false">$D$9-$E$9-3</f>
        <v>9.2</v>
      </c>
      <c r="I48" s="103" t="n">
        <f aca="false">F48*G48*H48</f>
        <v>1088.8108</v>
      </c>
      <c r="J48" s="102" t="n">
        <f aca="false">$D$15-$E$15-3</f>
        <v>4.3</v>
      </c>
      <c r="K48" s="103" t="n">
        <f aca="false">F48*G48*J48</f>
        <v>508.9007</v>
      </c>
      <c r="M48" s="111"/>
      <c r="N48" s="111"/>
    </row>
    <row r="49" customFormat="false" ht="13.05" hidden="false" customHeight="true" outlineLevel="0" collapsed="false">
      <c r="A49" s="79" t="n">
        <v>22</v>
      </c>
      <c r="B49" s="80" t="s">
        <v>153</v>
      </c>
      <c r="C49" s="80"/>
      <c r="D49" s="80"/>
      <c r="E49" s="80"/>
      <c r="F49" s="87"/>
      <c r="G49" s="87" t="n">
        <v>5.23</v>
      </c>
      <c r="H49" s="102" t="n">
        <f aca="false">M49+(25.6-$E$9)+($D$9-0.5*$F$12-29.4)</f>
        <v>9.85000000000001</v>
      </c>
      <c r="I49" s="103" t="n">
        <f aca="false">F49*G49*H49</f>
        <v>0</v>
      </c>
      <c r="J49" s="102" t="n">
        <f aca="false">N49+(25.6-$E$15)+($D$15-0.5*$F$18-29.4)</f>
        <v>4.95</v>
      </c>
      <c r="K49" s="103" t="n">
        <f aca="false">F49*G49*J49</f>
        <v>0</v>
      </c>
      <c r="M49" s="109" t="n">
        <f aca="false">INDEX(O49:AA49,1,MATCH(MAX($O$64:$AA$64),$O$64:$AA$64,0))</f>
        <v>6.7</v>
      </c>
      <c r="N49" s="110" t="n">
        <f aca="false">INDEX(O49:AA49,1,MATCH(MAX($O$65:$AA$65),$O$65:$AA$65,0))</f>
        <v>6.7</v>
      </c>
      <c r="O49" s="108" t="n">
        <f aca="false">VALUES!C$61</f>
        <v>-1.1</v>
      </c>
      <c r="P49" s="108" t="n">
        <f aca="false">VALUES!D$61</f>
        <v>-1.1</v>
      </c>
      <c r="Q49" s="108" t="n">
        <f aca="false">VALUES!E$61</f>
        <v>0</v>
      </c>
      <c r="R49" s="108" t="n">
        <f aca="false">VALUES!F$61</f>
        <v>1.1</v>
      </c>
      <c r="S49" s="108" t="n">
        <f aca="false">VALUES!G$61</f>
        <v>2.2</v>
      </c>
      <c r="T49" s="108" t="n">
        <f aca="false">VALUES!H$61</f>
        <v>3.9</v>
      </c>
      <c r="U49" s="108" t="n">
        <f aca="false">VALUES!I$61</f>
        <v>5</v>
      </c>
      <c r="V49" s="108" t="n">
        <f aca="false">VALUES!J$61</f>
        <v>6.7</v>
      </c>
      <c r="W49" s="108" t="n">
        <f aca="false">VALUES!K$61</f>
        <v>7.2</v>
      </c>
      <c r="X49" s="108" t="n">
        <f aca="false">VALUES!L$61</f>
        <v>7.8</v>
      </c>
      <c r="Y49" s="108" t="n">
        <f aca="false">VALUES!M$61</f>
        <v>7.8</v>
      </c>
      <c r="Z49" s="108" t="n">
        <f aca="false">VALUES!N$61</f>
        <v>7.2</v>
      </c>
      <c r="AA49" s="108" t="n">
        <f aca="false">VALUES!O$61</f>
        <v>6.7</v>
      </c>
    </row>
    <row r="50" customFormat="false" ht="13.05" hidden="false" customHeight="true" outlineLevel="0" collapsed="false">
      <c r="A50" s="79" t="n">
        <v>23</v>
      </c>
      <c r="B50" s="82" t="s">
        <v>154</v>
      </c>
      <c r="C50" s="82"/>
      <c r="D50" s="82"/>
      <c r="E50" s="82"/>
      <c r="F50" s="87"/>
      <c r="G50" s="87"/>
      <c r="H50" s="87"/>
      <c r="I50" s="103" t="n">
        <f aca="false">F50*G50*H50</f>
        <v>0</v>
      </c>
      <c r="J50" s="87"/>
      <c r="K50" s="103" t="n">
        <f aca="false">F50*G50*J50</f>
        <v>0</v>
      </c>
      <c r="L50" s="72"/>
      <c r="M50" s="111"/>
      <c r="N50" s="111"/>
    </row>
    <row r="51" s="117" customFormat="true" ht="13.05" hidden="false" customHeight="true" outlineLevel="0" collapsed="false">
      <c r="A51" s="112" t="s">
        <v>22</v>
      </c>
      <c r="B51" s="113" t="s">
        <v>155</v>
      </c>
      <c r="C51" s="113"/>
      <c r="D51" s="113"/>
      <c r="E51" s="113"/>
      <c r="F51" s="112"/>
      <c r="G51" s="112"/>
      <c r="H51" s="112"/>
      <c r="I51" s="114" t="n">
        <f aca="false">SUM(I28:I50)</f>
        <v>4392.8810065</v>
      </c>
      <c r="J51" s="112"/>
      <c r="K51" s="114" t="n">
        <f aca="false">SUM(K28:K50)</f>
        <v>2178.6293455</v>
      </c>
      <c r="L51" s="115"/>
      <c r="M51" s="116"/>
      <c r="N51" s="116"/>
      <c r="AMJ51" s="71"/>
    </row>
    <row r="52" s="117" customFormat="true" ht="12.8" hidden="false" customHeight="false" outlineLevel="0" collapsed="false">
      <c r="M52" s="116"/>
      <c r="N52" s="116"/>
    </row>
    <row r="53" customFormat="false" ht="13.05" hidden="false" customHeight="true" outlineLevel="0" collapsed="false">
      <c r="A53" s="101" t="s">
        <v>156</v>
      </c>
      <c r="B53" s="72"/>
      <c r="C53" s="72"/>
      <c r="D53" s="72"/>
      <c r="E53" s="72"/>
      <c r="F53" s="118" t="s">
        <v>97</v>
      </c>
      <c r="G53" s="118"/>
      <c r="H53" s="118"/>
      <c r="I53" s="119" t="s">
        <v>107</v>
      </c>
      <c r="J53" s="119"/>
      <c r="K53" s="119"/>
      <c r="L53" s="105"/>
      <c r="M53" s="120"/>
      <c r="N53" s="121"/>
    </row>
    <row r="54" customFormat="false" ht="35.4" hidden="false" customHeight="true" outlineLevel="0" collapsed="false">
      <c r="A54" s="118" t="s">
        <v>157</v>
      </c>
      <c r="B54" s="118" t="s">
        <v>121</v>
      </c>
      <c r="C54" s="118"/>
      <c r="D54" s="118" t="s">
        <v>158</v>
      </c>
      <c r="E54" s="118" t="s">
        <v>159</v>
      </c>
      <c r="F54" s="118" t="s">
        <v>160</v>
      </c>
      <c r="G54" s="118" t="s">
        <v>161</v>
      </c>
      <c r="H54" s="118" t="s">
        <v>162</v>
      </c>
      <c r="I54" s="118" t="s">
        <v>160</v>
      </c>
      <c r="J54" s="118" t="s">
        <v>161</v>
      </c>
      <c r="K54" s="118" t="s">
        <v>162</v>
      </c>
      <c r="L54" s="122" t="s">
        <v>163</v>
      </c>
      <c r="M54" s="123" t="n">
        <f aca="false">INDEX(O54:AA54,1,MATCH(MAX($O$64:$AA$64),$O$64:$AA$64,0))</f>
        <v>18</v>
      </c>
      <c r="N54" s="123" t="n">
        <f aca="false">INDEX(O54:AA54,1,MATCH(MAX($O$65:$AA$65),$O$65:$AA$65,0))</f>
        <v>18</v>
      </c>
      <c r="O54" s="104" t="n">
        <f aca="false">VALUES!$C$21</f>
        <v>6</v>
      </c>
      <c r="P54" s="104" t="n">
        <f aca="false">VALUES!$D$21</f>
        <v>7</v>
      </c>
      <c r="Q54" s="104" t="n">
        <f aca="false">VALUES!$E$21</f>
        <v>8</v>
      </c>
      <c r="R54" s="104" t="n">
        <f aca="false">VALUES!$F$21</f>
        <v>9</v>
      </c>
      <c r="S54" s="104" t="n">
        <f aca="false">VALUES!$G$21</f>
        <v>10</v>
      </c>
      <c r="T54" s="104" t="n">
        <f aca="false">VALUES!$H$21</f>
        <v>11</v>
      </c>
      <c r="U54" s="104" t="n">
        <f aca="false">VALUES!$I$21</f>
        <v>12</v>
      </c>
      <c r="V54" s="104" t="n">
        <f aca="false">VALUES!$J$21</f>
        <v>13</v>
      </c>
      <c r="W54" s="104" t="n">
        <f aca="false">VALUES!$K$21</f>
        <v>14</v>
      </c>
      <c r="X54" s="104" t="n">
        <f aca="false">VALUES!$L$21</f>
        <v>15</v>
      </c>
      <c r="Y54" s="104" t="n">
        <f aca="false">VALUES!$M$21</f>
        <v>16</v>
      </c>
      <c r="Z54" s="104" t="n">
        <f aca="false">VALUES!$N$21</f>
        <v>17</v>
      </c>
      <c r="AA54" s="104" t="n">
        <f aca="false">VALUES!$O$21</f>
        <v>18</v>
      </c>
    </row>
    <row r="55" customFormat="false" ht="13.05" hidden="false" customHeight="true" outlineLevel="0" collapsed="false">
      <c r="A55" s="79" t="n">
        <v>1</v>
      </c>
      <c r="B55" s="124" t="s">
        <v>140</v>
      </c>
      <c r="C55" s="124"/>
      <c r="D55" s="79" t="n">
        <f aca="false">F36</f>
        <v>5.883</v>
      </c>
      <c r="E55" s="87" t="n">
        <v>0.7</v>
      </c>
      <c r="F55" s="102" t="n">
        <f aca="false">M55</f>
        <v>0.91</v>
      </c>
      <c r="G55" s="79" t="n">
        <f aca="false">VALUES!$D$8</f>
        <v>237</v>
      </c>
      <c r="H55" s="125" t="n">
        <f aca="false">D55*G55*E55*F55</f>
        <v>888.150627</v>
      </c>
      <c r="I55" s="102" t="n">
        <f aca="false">N55</f>
        <v>0.91</v>
      </c>
      <c r="J55" s="79" t="n">
        <f aca="false">VALUES!$F$8</f>
        <v>101</v>
      </c>
      <c r="K55" s="103" t="n">
        <f aca="false">D55*E55*I55*J55</f>
        <v>378.494571</v>
      </c>
      <c r="L55" s="105"/>
      <c r="M55" s="109" t="n">
        <f aca="false">INDEX(O55:AA55,1,MATCH(MAX($O$64:$AA$64),$O$64:$AA$64,0))</f>
        <v>0.91</v>
      </c>
      <c r="N55" s="106" t="n">
        <f aca="false">INDEX(O55:AA55,1,MATCH(MAX($O$65:$AA$65),$O$65:$AA$65,0))</f>
        <v>0.91</v>
      </c>
      <c r="O55" s="70" t="n">
        <f aca="false">VALUES!$C$23</f>
        <v>0.73</v>
      </c>
      <c r="P55" s="70" t="n">
        <f aca="false">VALUES!$D$23</f>
        <v>0.66</v>
      </c>
      <c r="Q55" s="70" t="n">
        <f aca="false">VALUES!$E$23</f>
        <v>0.65</v>
      </c>
      <c r="R55" s="70" t="n">
        <f aca="false">VALUES!$F$23</f>
        <v>0.73</v>
      </c>
      <c r="S55" s="70" t="n">
        <f aca="false">VALUES!$G$23</f>
        <v>0.8</v>
      </c>
      <c r="T55" s="70" t="n">
        <f aca="false">VALUES!$H$23</f>
        <v>0.86</v>
      </c>
      <c r="U55" s="70" t="n">
        <f aca="false">VALUES!$I$23</f>
        <v>0.89</v>
      </c>
      <c r="V55" s="70" t="n">
        <f aca="false">VALUES!$J$23</f>
        <v>0.89</v>
      </c>
      <c r="W55" s="70" t="n">
        <f aca="false">VALUES!$K$23</f>
        <v>0.86</v>
      </c>
      <c r="X55" s="70" t="n">
        <f aca="false">VALUES!$L$23</f>
        <v>0.82</v>
      </c>
      <c r="Y55" s="70" t="n">
        <f aca="false">VALUES!$M$23</f>
        <v>0.75</v>
      </c>
      <c r="Z55" s="70" t="n">
        <f aca="false">VALUES!$N$23</f>
        <v>0.78</v>
      </c>
      <c r="AA55" s="70" t="n">
        <f aca="false">VALUES!$O$23</f>
        <v>0.91</v>
      </c>
    </row>
    <row r="56" customFormat="false" ht="13.05" hidden="false" customHeight="true" outlineLevel="0" collapsed="false">
      <c r="A56" s="79" t="n">
        <v>2</v>
      </c>
      <c r="B56" s="124" t="s">
        <v>141</v>
      </c>
      <c r="C56" s="124"/>
      <c r="D56" s="79" t="n">
        <f aca="false">F37</f>
        <v>0</v>
      </c>
      <c r="E56" s="87" t="n">
        <v>0.7</v>
      </c>
      <c r="F56" s="102" t="n">
        <f aca="false">M56</f>
        <v>0.12</v>
      </c>
      <c r="G56" s="79" t="n">
        <f aca="false">VALUES!$D$9</f>
        <v>625</v>
      </c>
      <c r="H56" s="103" t="n">
        <f aca="false">D56*G56*E56*F56</f>
        <v>0</v>
      </c>
      <c r="I56" s="102" t="n">
        <f aca="false">N56</f>
        <v>0.12</v>
      </c>
      <c r="J56" s="79" t="n">
        <f aca="false">VALUES!$F$9</f>
        <v>199</v>
      </c>
      <c r="K56" s="103" t="n">
        <f aca="false">D56*E56*I56*J56</f>
        <v>0</v>
      </c>
      <c r="L56" s="105"/>
      <c r="M56" s="109" t="n">
        <f aca="false">INDEX(O56:AA56,1,MATCH(MAX($O$64:$AA$64),$O$64:$AA$64,0))</f>
        <v>0.12</v>
      </c>
      <c r="N56" s="109" t="n">
        <f aca="false">INDEX(O56:AA56,1,MATCH(MAX($O$65:$AA$65),$O$65:$AA$65,0))</f>
        <v>0.12</v>
      </c>
      <c r="O56" s="70" t="n">
        <f aca="false">VALUES!$C$24</f>
        <v>0.56</v>
      </c>
      <c r="P56" s="70" t="n">
        <f aca="false">VALUES!$D$24</f>
        <v>0.76</v>
      </c>
      <c r="Q56" s="70" t="n">
        <f aca="false">VALUES!$E$24</f>
        <v>0.74</v>
      </c>
      <c r="R56" s="70" t="n">
        <f aca="false">VALUES!$F$24</f>
        <v>0.58</v>
      </c>
      <c r="S56" s="70" t="n">
        <f aca="false">VALUES!$G$24</f>
        <v>0.37</v>
      </c>
      <c r="T56" s="70" t="n">
        <f aca="false">VALUES!$H$24</f>
        <v>0.29</v>
      </c>
      <c r="U56" s="70" t="n">
        <f aca="false">VALUES!$I$24</f>
        <v>0.27</v>
      </c>
      <c r="V56" s="70" t="n">
        <f aca="false">VALUES!$J$24</f>
        <v>0.26</v>
      </c>
      <c r="W56" s="70" t="n">
        <f aca="false">VALUES!$K$24</f>
        <v>0.24</v>
      </c>
      <c r="X56" s="70" t="n">
        <f aca="false">VALUES!$L$24</f>
        <v>0.22</v>
      </c>
      <c r="Y56" s="70" t="n">
        <f aca="false">VALUES!$M$24</f>
        <v>0.2</v>
      </c>
      <c r="Z56" s="70" t="n">
        <f aca="false">VALUES!$N$24</f>
        <v>0.16</v>
      </c>
      <c r="AA56" s="70" t="n">
        <f aca="false">VALUES!$O$24</f>
        <v>0.12</v>
      </c>
    </row>
    <row r="57" customFormat="false" ht="13.05" hidden="false" customHeight="true" outlineLevel="0" collapsed="false">
      <c r="A57" s="79" t="n">
        <v>3</v>
      </c>
      <c r="B57" s="124" t="s">
        <v>142</v>
      </c>
      <c r="C57" s="124"/>
      <c r="D57" s="79" t="n">
        <f aca="false">F38</f>
        <v>0</v>
      </c>
      <c r="E57" s="87" t="n">
        <v>0.7</v>
      </c>
      <c r="F57" s="102" t="n">
        <f aca="false">M57</f>
        <v>0.12</v>
      </c>
      <c r="G57" s="79" t="n">
        <f aca="false">VALUES!$D$10</f>
        <v>644</v>
      </c>
      <c r="H57" s="103" t="n">
        <f aca="false">D57*G57*E57*F57</f>
        <v>0</v>
      </c>
      <c r="I57" s="102" t="n">
        <f aca="false">N57</f>
        <v>0.12</v>
      </c>
      <c r="J57" s="79" t="n">
        <f aca="false">VALUES!$F$10</f>
        <v>675</v>
      </c>
      <c r="K57" s="103" t="n">
        <f aca="false">D57*E57*I57*J57</f>
        <v>0</v>
      </c>
      <c r="L57" s="105"/>
      <c r="M57" s="109" t="n">
        <f aca="false">INDEX(O57:AA57,1,MATCH(MAX($O$64:$AA$64),$O$64:$AA$64,0))</f>
        <v>0.12</v>
      </c>
      <c r="N57" s="109" t="n">
        <f aca="false">INDEX(O57:AA57,1,MATCH(MAX($O$65:$AA$65),$O$65:$AA$65,0))</f>
        <v>0.12</v>
      </c>
      <c r="O57" s="70" t="n">
        <f aca="false">VALUES!$C$25</f>
        <v>0.47</v>
      </c>
      <c r="P57" s="70" t="n">
        <f aca="false">VALUES!$D$25</f>
        <v>0.72</v>
      </c>
      <c r="Q57" s="70" t="n">
        <f aca="false">VALUES!$E$25</f>
        <v>0.8</v>
      </c>
      <c r="R57" s="70" t="n">
        <f aca="false">VALUES!$F$25</f>
        <v>0.76</v>
      </c>
      <c r="S57" s="70" t="n">
        <f aca="false">VALUES!$G$25</f>
        <v>0.62</v>
      </c>
      <c r="T57" s="70" t="n">
        <f aca="false">VALUES!$H$25</f>
        <v>0.41</v>
      </c>
      <c r="U57" s="70" t="n">
        <f aca="false">VALUES!$I$25</f>
        <v>0.27</v>
      </c>
      <c r="V57" s="70" t="n">
        <f aca="false">VALUES!$J$25</f>
        <v>0.26</v>
      </c>
      <c r="W57" s="70" t="n">
        <f aca="false">VALUES!$K$25</f>
        <v>0.24</v>
      </c>
      <c r="X57" s="70" t="n">
        <f aca="false">VALUES!$L$25</f>
        <v>0.22</v>
      </c>
      <c r="Y57" s="70" t="n">
        <f aca="false">VALUES!$M$25</f>
        <v>0.2</v>
      </c>
      <c r="Z57" s="70" t="n">
        <f aca="false">VALUES!$N$25</f>
        <v>0.16</v>
      </c>
      <c r="AA57" s="70" t="n">
        <f aca="false">VALUES!$O$25</f>
        <v>0.12</v>
      </c>
    </row>
    <row r="58" customFormat="false" ht="13.05" hidden="false" customHeight="true" outlineLevel="0" collapsed="false">
      <c r="A58" s="79" t="n">
        <v>4</v>
      </c>
      <c r="B58" s="124" t="s">
        <v>143</v>
      </c>
      <c r="C58" s="124"/>
      <c r="D58" s="79" t="n">
        <f aca="false">F39</f>
        <v>0</v>
      </c>
      <c r="E58" s="87" t="n">
        <v>0.7</v>
      </c>
      <c r="F58" s="102" t="n">
        <f aca="false">M58</f>
        <v>0.13</v>
      </c>
      <c r="G58" s="79" t="n">
        <f aca="false">VALUES!$D$11</f>
        <v>284</v>
      </c>
      <c r="H58" s="103" t="n">
        <f aca="false">D58*G58*E58*F58</f>
        <v>0</v>
      </c>
      <c r="I58" s="102" t="n">
        <f aca="false">N58</f>
        <v>0.13</v>
      </c>
      <c r="J58" s="79" t="n">
        <f aca="false">VALUES!$F$11</f>
        <v>767</v>
      </c>
      <c r="K58" s="103" t="n">
        <f aca="false">D58*E58*I58*J58</f>
        <v>0</v>
      </c>
      <c r="L58" s="105"/>
      <c r="M58" s="109" t="n">
        <f aca="false">INDEX(O58:AA58,1,MATCH(MAX($O$64:$AA$64),$O$64:$AA$64,0))</f>
        <v>0.13</v>
      </c>
      <c r="N58" s="109" t="n">
        <f aca="false">INDEX(O58:AA58,1,MATCH(MAX($O$65:$AA$65),$O$65:$AA$65,0))</f>
        <v>0.13</v>
      </c>
      <c r="O58" s="70" t="n">
        <f aca="false">VALUES!$C$26</f>
        <v>0.3</v>
      </c>
      <c r="P58" s="70" t="n">
        <f aca="false">VALUES!$D$26</f>
        <v>0.57</v>
      </c>
      <c r="Q58" s="70" t="n">
        <f aca="false">VALUES!$E$26</f>
        <v>0.74</v>
      </c>
      <c r="R58" s="70" t="n">
        <f aca="false">VALUES!$F$26</f>
        <v>0.81</v>
      </c>
      <c r="S58" s="70" t="n">
        <f aca="false">VALUES!$G$26</f>
        <v>0.79</v>
      </c>
      <c r="T58" s="70" t="n">
        <f aca="false">VALUES!$H$26</f>
        <v>0.68</v>
      </c>
      <c r="U58" s="70" t="n">
        <f aca="false">VALUES!$I$26</f>
        <v>0.49</v>
      </c>
      <c r="V58" s="70" t="n">
        <f aca="false">VALUES!$J$26</f>
        <v>0.33</v>
      </c>
      <c r="W58" s="70" t="n">
        <f aca="false">VALUES!$K$26</f>
        <v>0.28</v>
      </c>
      <c r="X58" s="70" t="n">
        <f aca="false">VALUES!$L$26</f>
        <v>0.25</v>
      </c>
      <c r="Y58" s="70" t="n">
        <f aca="false">VALUES!$M$26</f>
        <v>0.22</v>
      </c>
      <c r="Z58" s="70" t="n">
        <f aca="false">VALUES!$N$26</f>
        <v>0.18</v>
      </c>
      <c r="AA58" s="70" t="n">
        <f aca="false">VALUES!$O$26</f>
        <v>0.13</v>
      </c>
    </row>
    <row r="59" customFormat="false" ht="13.05" hidden="false" customHeight="true" outlineLevel="0" collapsed="false">
      <c r="A59" s="79" t="n">
        <v>5</v>
      </c>
      <c r="B59" s="124" t="s">
        <v>144</v>
      </c>
      <c r="C59" s="124"/>
      <c r="D59" s="79" t="n">
        <f aca="false">F40</f>
        <v>0</v>
      </c>
      <c r="E59" s="87" t="n">
        <v>0.7</v>
      </c>
      <c r="F59" s="102" t="n">
        <f aca="false">M59</f>
        <v>0.19</v>
      </c>
      <c r="G59" s="79" t="n">
        <f aca="false">VALUES!$D$12</f>
        <v>126</v>
      </c>
      <c r="H59" s="103" t="n">
        <f aca="false">D59*G59*E59*F59</f>
        <v>0</v>
      </c>
      <c r="I59" s="102" t="n">
        <f aca="false">N59</f>
        <v>0.19</v>
      </c>
      <c r="J59" s="79" t="n">
        <f aca="false">VALUES!$F$12</f>
        <v>565</v>
      </c>
      <c r="K59" s="103" t="n">
        <f aca="false">D59*E59*I59*J59</f>
        <v>0</v>
      </c>
      <c r="L59" s="105"/>
      <c r="M59" s="109" t="n">
        <f aca="false">INDEX(O59:AA59,1,MATCH(MAX($O$64:$AA$64),$O$64:$AA$64,0))</f>
        <v>0.19</v>
      </c>
      <c r="N59" s="109" t="n">
        <f aca="false">INDEX(O59:AA59,1,MATCH(MAX($O$65:$AA$65),$O$65:$AA$65,0))</f>
        <v>0.19</v>
      </c>
      <c r="O59" s="70" t="n">
        <f aca="false">VALUES!$C$27</f>
        <v>0.09</v>
      </c>
      <c r="P59" s="70" t="n">
        <f aca="false">VALUES!$D$27</f>
        <v>0.16</v>
      </c>
      <c r="Q59" s="70" t="n">
        <f aca="false">VALUES!$E$27</f>
        <v>0.23</v>
      </c>
      <c r="R59" s="70" t="n">
        <f aca="false">VALUES!$F$27</f>
        <v>0.38</v>
      </c>
      <c r="S59" s="70" t="n">
        <f aca="false">VALUES!$G$27</f>
        <v>0.58</v>
      </c>
      <c r="T59" s="70" t="n">
        <f aca="false">VALUES!$H$27</f>
        <v>0.75</v>
      </c>
      <c r="U59" s="70" t="n">
        <f aca="false">VALUES!$I$27</f>
        <v>0.83</v>
      </c>
      <c r="V59" s="70" t="n">
        <f aca="false">VALUES!$J$27</f>
        <v>0.8</v>
      </c>
      <c r="W59" s="70" t="n">
        <f aca="false">VALUES!$K$27</f>
        <v>0.68</v>
      </c>
      <c r="X59" s="70" t="n">
        <f aca="false">VALUES!$L$27</f>
        <v>0.5</v>
      </c>
      <c r="Y59" s="70" t="n">
        <f aca="false">VALUES!$M$27</f>
        <v>0.35</v>
      </c>
      <c r="Z59" s="70" t="n">
        <f aca="false">VALUES!$N$27</f>
        <v>0.27</v>
      </c>
      <c r="AA59" s="70" t="n">
        <f aca="false">VALUES!$O$27</f>
        <v>0.19</v>
      </c>
    </row>
    <row r="60" customFormat="false" ht="13.05" hidden="false" customHeight="true" outlineLevel="0" collapsed="false">
      <c r="A60" s="79" t="n">
        <v>6</v>
      </c>
      <c r="B60" s="124" t="s">
        <v>145</v>
      </c>
      <c r="C60" s="124"/>
      <c r="D60" s="79" t="n">
        <f aca="false">F41</f>
        <v>0</v>
      </c>
      <c r="E60" s="87" t="n">
        <v>0.7</v>
      </c>
      <c r="F60" s="102" t="n">
        <f aca="false">M60</f>
        <v>0.45</v>
      </c>
      <c r="G60" s="79" t="n">
        <f aca="false">VALUES!$D$13</f>
        <v>284</v>
      </c>
      <c r="H60" s="103" t="n">
        <f aca="false">D60*G60*E60*F60</f>
        <v>0</v>
      </c>
      <c r="I60" s="102" t="n">
        <f aca="false">N60</f>
        <v>0.45</v>
      </c>
      <c r="J60" s="79" t="n">
        <f aca="false">VALUES!$F$13</f>
        <v>767</v>
      </c>
      <c r="K60" s="103" t="n">
        <f aca="false">D60*E60*I60*J60</f>
        <v>0</v>
      </c>
      <c r="L60" s="105"/>
      <c r="M60" s="109" t="n">
        <f aca="false">INDEX(O60:AA60,1,MATCH(MAX($O$64:$AA$64),$O$64:$AA$64,0))</f>
        <v>0.45</v>
      </c>
      <c r="N60" s="109" t="n">
        <f aca="false">INDEX(O60:AA60,1,MATCH(MAX($O$65:$AA$65),$O$65:$AA$65,0))</f>
        <v>0.45</v>
      </c>
      <c r="O60" s="70" t="n">
        <f aca="false">VALUES!$C$28</f>
        <v>0.07</v>
      </c>
      <c r="P60" s="70" t="n">
        <f aca="false">VALUES!$D$28</f>
        <v>0.11</v>
      </c>
      <c r="Q60" s="70" t="n">
        <f aca="false">VALUES!$E$28</f>
        <v>0.14</v>
      </c>
      <c r="R60" s="70" t="n">
        <f aca="false">VALUES!$F$28</f>
        <v>0.16</v>
      </c>
      <c r="S60" s="70" t="n">
        <f aca="false">VALUES!$G$28</f>
        <v>0.19</v>
      </c>
      <c r="T60" s="70" t="n">
        <f aca="false">VALUES!$H$28</f>
        <v>0.22</v>
      </c>
      <c r="U60" s="70" t="n">
        <f aca="false">VALUES!$I$28</f>
        <v>0.38</v>
      </c>
      <c r="V60" s="70" t="n">
        <f aca="false">VALUES!$J$28</f>
        <v>0.59</v>
      </c>
      <c r="W60" s="70" t="n">
        <f aca="false">VALUES!$K$28</f>
        <v>0.75</v>
      </c>
      <c r="X60" s="70" t="n">
        <f aca="false">VALUES!$L$28</f>
        <v>0.83</v>
      </c>
      <c r="Y60" s="70" t="n">
        <f aca="false">VALUES!$M$28</f>
        <v>0.81</v>
      </c>
      <c r="Z60" s="70" t="n">
        <f aca="false">VALUES!$N$28</f>
        <v>0.69</v>
      </c>
      <c r="AA60" s="70" t="n">
        <f aca="false">VALUES!$O$28</f>
        <v>0.45</v>
      </c>
    </row>
    <row r="61" customFormat="false" ht="13.05" hidden="false" customHeight="true" outlineLevel="0" collapsed="false">
      <c r="A61" s="79" t="n">
        <v>7</v>
      </c>
      <c r="B61" s="124" t="s">
        <v>146</v>
      </c>
      <c r="C61" s="124"/>
      <c r="D61" s="79" t="n">
        <f aca="false">F42</f>
        <v>0</v>
      </c>
      <c r="E61" s="87" t="n">
        <v>0.7</v>
      </c>
      <c r="F61" s="102" t="n">
        <f aca="false">M61</f>
        <v>0.61</v>
      </c>
      <c r="G61" s="79" t="n">
        <f aca="false">VALUES!$D$14</f>
        <v>644</v>
      </c>
      <c r="H61" s="103" t="n">
        <f aca="false">D61*G61*E61*F61</f>
        <v>0</v>
      </c>
      <c r="I61" s="102" t="n">
        <f aca="false">N61</f>
        <v>0.61</v>
      </c>
      <c r="J61" s="79" t="n">
        <f aca="false">VALUES!$F$14</f>
        <v>675</v>
      </c>
      <c r="K61" s="103" t="n">
        <f aca="false">D61*E61*I61*J61</f>
        <v>0</v>
      </c>
      <c r="L61" s="105"/>
      <c r="M61" s="109" t="n">
        <f aca="false">INDEX(O61:AA61,1,MATCH(MAX($O$64:$AA$64),$O$64:$AA$64,0))</f>
        <v>0.61</v>
      </c>
      <c r="N61" s="109" t="n">
        <f aca="false">INDEX(O61:AA61,1,MATCH(MAX($O$65:$AA$65),$O$65:$AA$65,0))</f>
        <v>0.61</v>
      </c>
      <c r="O61" s="70" t="n">
        <f aca="false">VALUES!$C$29</f>
        <v>0.06</v>
      </c>
      <c r="P61" s="70" t="n">
        <f aca="false">VALUES!$D$29</f>
        <v>0.09</v>
      </c>
      <c r="Q61" s="70" t="n">
        <f aca="false">VALUES!$E$29</f>
        <v>0.11</v>
      </c>
      <c r="R61" s="70" t="n">
        <f aca="false">VALUES!$F$29</f>
        <v>0.13</v>
      </c>
      <c r="S61" s="70" t="n">
        <f aca="false">VALUES!$G$29</f>
        <v>0.15</v>
      </c>
      <c r="T61" s="70" t="n">
        <f aca="false">VALUES!$H$29</f>
        <v>0.16</v>
      </c>
      <c r="U61" s="70" t="n">
        <f aca="false">VALUES!$I$29</f>
        <v>0.17</v>
      </c>
      <c r="V61" s="70" t="n">
        <f aca="false">VALUES!$J$29</f>
        <v>0.31</v>
      </c>
      <c r="W61" s="70" t="n">
        <f aca="false">VALUES!$K$29</f>
        <v>0.53</v>
      </c>
      <c r="X61" s="70" t="n">
        <f aca="false">VALUES!$L$29</f>
        <v>0.72</v>
      </c>
      <c r="Y61" s="70" t="n">
        <f aca="false">VALUES!$M$29</f>
        <v>0.82</v>
      </c>
      <c r="Z61" s="70" t="n">
        <f aca="false">VALUES!$N$29</f>
        <v>0.81</v>
      </c>
      <c r="AA61" s="70" t="n">
        <f aca="false">VALUES!$O$29</f>
        <v>0.61</v>
      </c>
    </row>
    <row r="62" customFormat="false" ht="13.05" hidden="false" customHeight="true" outlineLevel="0" collapsed="false">
      <c r="A62" s="79" t="n">
        <v>8</v>
      </c>
      <c r="B62" s="124" t="s">
        <v>147</v>
      </c>
      <c r="C62" s="124"/>
      <c r="D62" s="79" t="n">
        <f aca="false">F43</f>
        <v>0</v>
      </c>
      <c r="E62" s="87" t="n">
        <v>0.7</v>
      </c>
      <c r="F62" s="102" t="n">
        <f aca="false">M62</f>
        <v>0.69</v>
      </c>
      <c r="G62" s="79" t="n">
        <f aca="false">VALUES!$D$15</f>
        <v>625</v>
      </c>
      <c r="H62" s="103" t="n">
        <f aca="false">D62*G62*E62*F62</f>
        <v>0</v>
      </c>
      <c r="I62" s="102" t="n">
        <f aca="false">N62</f>
        <v>0.69</v>
      </c>
      <c r="J62" s="79" t="n">
        <f aca="false">VALUES!$F$15</f>
        <v>199</v>
      </c>
      <c r="K62" s="103" t="n">
        <f aca="false">D62*E62*I62*J62</f>
        <v>0</v>
      </c>
      <c r="L62" s="105"/>
      <c r="M62" s="109" t="n">
        <f aca="false">INDEX(O62:AA62,1,MATCH(MAX($O$64:$AA$64),$O$64:$AA$64,0))</f>
        <v>0.69</v>
      </c>
      <c r="N62" s="109" t="n">
        <f aca="false">INDEX(O62:AA62,1,MATCH(MAX($O$65:$AA$65),$O$65:$AA$65,0))</f>
        <v>0.69</v>
      </c>
      <c r="O62" s="70" t="n">
        <f aca="false">VALUES!$C$30</f>
        <v>0.07</v>
      </c>
      <c r="P62" s="70" t="n">
        <f aca="false">VALUES!$D$30</f>
        <v>0.11</v>
      </c>
      <c r="Q62" s="70" t="n">
        <f aca="false">VALUES!$E$30</f>
        <v>0.14</v>
      </c>
      <c r="R62" s="70" t="n">
        <f aca="false">VALUES!$F$30</f>
        <v>0.17</v>
      </c>
      <c r="S62" s="70" t="n">
        <f aca="false">VALUES!$G$30</f>
        <v>0.19</v>
      </c>
      <c r="T62" s="70" t="n">
        <f aca="false">VALUES!$H$30</f>
        <v>0.2</v>
      </c>
      <c r="U62" s="70" t="n">
        <f aca="false">VALUES!$I$30</f>
        <v>0.21</v>
      </c>
      <c r="V62" s="70" t="n">
        <f aca="false">VALUES!$J$30</f>
        <v>0.22</v>
      </c>
      <c r="W62" s="70" t="n">
        <f aca="false">VALUES!$K$30</f>
        <v>0.3</v>
      </c>
      <c r="X62" s="70" t="n">
        <f aca="false">VALUES!$L$30</f>
        <v>0.52</v>
      </c>
      <c r="Y62" s="70" t="n">
        <f aca="false">VALUES!$M$30</f>
        <v>0.73</v>
      </c>
      <c r="Z62" s="70" t="n">
        <f aca="false">VALUES!$N$30</f>
        <v>0.82</v>
      </c>
      <c r="AA62" s="70" t="n">
        <f aca="false">VALUES!$O$30</f>
        <v>0.69</v>
      </c>
    </row>
    <row r="63" customFormat="false" ht="13.05" hidden="false" customHeight="true" outlineLevel="0" collapsed="false">
      <c r="A63" s="79" t="n">
        <v>9</v>
      </c>
      <c r="B63" s="124" t="s">
        <v>164</v>
      </c>
      <c r="C63" s="124"/>
      <c r="D63" s="79" t="n">
        <f aca="false">F49</f>
        <v>0</v>
      </c>
      <c r="E63" s="87" t="n">
        <v>0.6</v>
      </c>
      <c r="F63" s="102" t="n">
        <f aca="false">M63</f>
        <v>0.25</v>
      </c>
      <c r="G63" s="79" t="n">
        <f aca="false">VALUES!$D$16</f>
        <v>864</v>
      </c>
      <c r="H63" s="103" t="n">
        <f aca="false">D63*G63*E63*F63</f>
        <v>0</v>
      </c>
      <c r="I63" s="102" t="n">
        <f aca="false">N63</f>
        <v>0.25</v>
      </c>
      <c r="J63" s="79" t="n">
        <f aca="false">VALUES!$F$16</f>
        <v>820</v>
      </c>
      <c r="K63" s="103" t="n">
        <f aca="false">D63*E63*I63*J63</f>
        <v>0</v>
      </c>
      <c r="L63" s="105"/>
      <c r="M63" s="109" t="n">
        <f aca="false">INDEX(O63:AA63,1,MATCH(MAX($O$64:$AA$64),$O$64:$AA$64,0))</f>
        <v>0.25</v>
      </c>
      <c r="N63" s="109" t="n">
        <f aca="false">INDEX(O63:AA63,1,MATCH(MAX($O$65:$AA$65),$O$65:$AA$65,0))</f>
        <v>0.25</v>
      </c>
      <c r="O63" s="70" t="n">
        <f aca="false">VALUES!$C$31</f>
        <v>0.12</v>
      </c>
      <c r="P63" s="70" t="n">
        <f aca="false">VALUES!$D$31</f>
        <v>0.27</v>
      </c>
      <c r="Q63" s="70" t="n">
        <f aca="false">VALUES!$E$31</f>
        <v>0.44</v>
      </c>
      <c r="R63" s="70" t="n">
        <f aca="false">VALUES!$F$31</f>
        <v>0.59</v>
      </c>
      <c r="S63" s="70" t="n">
        <f aca="false">VALUES!$G$31</f>
        <v>0.72</v>
      </c>
      <c r="T63" s="70" t="n">
        <f aca="false">VALUES!$H$31</f>
        <v>0.81</v>
      </c>
      <c r="U63" s="70" t="n">
        <f aca="false">VALUES!$I$31</f>
        <v>0.85</v>
      </c>
      <c r="V63" s="70" t="n">
        <f aca="false">VALUES!$J$31</f>
        <v>0.85</v>
      </c>
      <c r="W63" s="70" t="n">
        <f aca="false">VALUES!$K$31</f>
        <v>0.81</v>
      </c>
      <c r="X63" s="70" t="n">
        <f aca="false">VALUES!$L$31</f>
        <v>0.71</v>
      </c>
      <c r="Y63" s="70" t="n">
        <f aca="false">VALUES!$M$31</f>
        <v>0.58</v>
      </c>
      <c r="Z63" s="70" t="n">
        <f aca="false">VALUES!$N$31</f>
        <v>0.42</v>
      </c>
      <c r="AA63" s="70" t="n">
        <f aca="false">VALUES!$O$31</f>
        <v>0.25</v>
      </c>
    </row>
    <row r="64" customFormat="false" ht="13.05" hidden="false" customHeight="true" outlineLevel="0" collapsed="false">
      <c r="A64" s="79" t="n">
        <v>10</v>
      </c>
      <c r="B64" s="124" t="s">
        <v>154</v>
      </c>
      <c r="C64" s="124"/>
      <c r="D64" s="87"/>
      <c r="E64" s="87"/>
      <c r="F64" s="87"/>
      <c r="G64" s="87"/>
      <c r="H64" s="103" t="n">
        <f aca="false">D64*G64*E64*F64</f>
        <v>0</v>
      </c>
      <c r="I64" s="87"/>
      <c r="J64" s="87"/>
      <c r="K64" s="103" t="n">
        <f aca="false">D64*E64*I64*J64</f>
        <v>0</v>
      </c>
      <c r="L64" s="105"/>
      <c r="M64" s="123" t="n">
        <f aca="false">INDEX(O64:AA64,1,MATCH(MAX($O$64:$AA$64),$O$64:$AA$64,0))</f>
        <v>888.150627</v>
      </c>
      <c r="N64" s="121"/>
      <c r="O64" s="126" t="n">
        <f aca="false">SUMPRODUCT(O55:O63, $E$55:$E$63, $D$55:$D$63, $G$55:$G$63)</f>
        <v>712.472481</v>
      </c>
      <c r="P64" s="126" t="n">
        <f aca="false">SUMPRODUCT(P55:P63, $E$55:$E$63, $D$55:$D$63, $G$55:$G$63)</f>
        <v>644.153202</v>
      </c>
      <c r="Q64" s="126" t="n">
        <f aca="false">SUMPRODUCT(Q55:Q63, $E$55:$E$63, $D$55:$D$63, $G$55:$G$63)</f>
        <v>634.393305</v>
      </c>
      <c r="R64" s="126" t="n">
        <f aca="false">SUMPRODUCT(R55:R63, $E$55:$E$63, $D$55:$D$63, $G$55:$G$63)</f>
        <v>712.472481</v>
      </c>
      <c r="S64" s="126" t="n">
        <f aca="false">SUMPRODUCT(S55:S63, $E$55:$E$63, $D$55:$D$63, $G$55:$G$63)</f>
        <v>780.79176</v>
      </c>
      <c r="T64" s="126" t="n">
        <f aca="false">SUMPRODUCT(T55:T63, $E$55:$E$63, $D$55:$D$63, $G$55:$G$63)</f>
        <v>839.351142</v>
      </c>
      <c r="U64" s="126" t="n">
        <f aca="false">SUMPRODUCT(U55:U63, $E$55:$E$63, $D$55:$D$63, $G$55:$G$63)</f>
        <v>868.630833</v>
      </c>
      <c r="V64" s="126" t="n">
        <f aca="false">SUMPRODUCT(V55:V63, $E$55:$E$63, $D$55:$D$63, $G$55:$G$63)</f>
        <v>868.630833</v>
      </c>
      <c r="W64" s="126" t="n">
        <f aca="false">SUMPRODUCT(W55:W63, $E$55:$E$63, $D$55:$D$63, $G$55:$G$63)</f>
        <v>839.351142</v>
      </c>
      <c r="X64" s="126" t="n">
        <f aca="false">SUMPRODUCT(X55:X63, $E$55:$E$63, $D$55:$D$63, $G$55:$G$63)</f>
        <v>800.311554</v>
      </c>
      <c r="Y64" s="126" t="n">
        <f aca="false">SUMPRODUCT(Y55:Y63, $E$55:$E$63, $D$55:$D$63, $G$55:$G$63)</f>
        <v>731.992275</v>
      </c>
      <c r="Z64" s="126" t="n">
        <f aca="false">SUMPRODUCT(Z55:Z63, $E$55:$E$63, $D$55:$D$63, $G$55:$G$63)</f>
        <v>761.271966</v>
      </c>
      <c r="AA64" s="126" t="n">
        <f aca="false">SUMPRODUCT(AA55:AA63, $E$55:$E$63, $D$55:$D$63, $G$55:$G$63)</f>
        <v>888.150627</v>
      </c>
    </row>
    <row r="65" s="117" customFormat="true" ht="24.25" hidden="false" customHeight="true" outlineLevel="0" collapsed="false">
      <c r="A65" s="112" t="s">
        <v>4</v>
      </c>
      <c r="B65" s="127" t="s">
        <v>165</v>
      </c>
      <c r="C65" s="127"/>
      <c r="D65" s="112"/>
      <c r="E65" s="128"/>
      <c r="F65" s="112"/>
      <c r="G65" s="112"/>
      <c r="H65" s="114" t="n">
        <f aca="false">SUM(H55:H64)</f>
        <v>888.150627</v>
      </c>
      <c r="I65" s="112"/>
      <c r="J65" s="112"/>
      <c r="K65" s="114" t="n">
        <f aca="false">SUM(K55:K64)</f>
        <v>378.494571</v>
      </c>
      <c r="L65" s="105"/>
      <c r="M65" s="115"/>
      <c r="N65" s="123" t="n">
        <f aca="false">INDEX(O65:AA65,1,MATCH(MAX($O$65:$AA$65),$O$65:$AA$65,0))</f>
        <v>378.494571</v>
      </c>
      <c r="O65" s="126" t="n">
        <f aca="false">SUMPRODUCT(O55:O63, $E$55:$E$63, $D$55:$D$63, $J$55:$J$63)</f>
        <v>303.627513</v>
      </c>
      <c r="P65" s="126" t="n">
        <f aca="false">SUMPRODUCT(P55:P63, $E$55:$E$63, $D$55:$D$63, $J$55:$J$63)</f>
        <v>274.512546</v>
      </c>
      <c r="Q65" s="126" t="n">
        <f aca="false">SUMPRODUCT(Q55:Q63, $E$55:$E$63, $D$55:$D$63, $J$55:$J$63)</f>
        <v>270.353265</v>
      </c>
      <c r="R65" s="126" t="n">
        <f aca="false">SUMPRODUCT(R55:R63, $E$55:$E$63, $D$55:$D$63, $J$55:$J$63)</f>
        <v>303.627513</v>
      </c>
      <c r="S65" s="126" t="n">
        <f aca="false">SUMPRODUCT(S55:S63, $E$55:$E$63, $D$55:$D$63, $J$55:$J$63)</f>
        <v>332.74248</v>
      </c>
      <c r="T65" s="126" t="n">
        <f aca="false">SUMPRODUCT(T55:T63, $E$55:$E$63, $D$55:$D$63, $J$55:$J$63)</f>
        <v>357.698166</v>
      </c>
      <c r="U65" s="126" t="n">
        <f aca="false">SUMPRODUCT(U55:U63, $E$55:$E$63, $D$55:$D$63, $J$55:$J$63)</f>
        <v>370.176009</v>
      </c>
      <c r="V65" s="126" t="n">
        <f aca="false">SUMPRODUCT(V55:V63, $E$55:$E$63, $D$55:$D$63, $J$55:$J$63)</f>
        <v>370.176009</v>
      </c>
      <c r="W65" s="126" t="n">
        <f aca="false">SUMPRODUCT(W55:W63, $E$55:$E$63, $D$55:$D$63, $J$55:$J$63)</f>
        <v>357.698166</v>
      </c>
      <c r="X65" s="126" t="n">
        <f aca="false">SUMPRODUCT(X55:X63, $E$55:$E$63, $D$55:$D$63, $J$55:$J$63)</f>
        <v>341.061042</v>
      </c>
      <c r="Y65" s="126" t="n">
        <f aca="false">SUMPRODUCT(Y55:Y63, $E$55:$E$63, $D$55:$D$63, $J$55:$J$63)</f>
        <v>311.946075</v>
      </c>
      <c r="Z65" s="126" t="n">
        <f aca="false">SUMPRODUCT(Z55:Z63, $E$55:$E$63, $D$55:$D$63, $J$55:$J$63)</f>
        <v>324.423918</v>
      </c>
      <c r="AA65" s="126" t="n">
        <f aca="false">SUMPRODUCT(AA55:AA63, $E$55:$E$63, $D$55:$D$63, $J$55:$J$63)</f>
        <v>378.494571</v>
      </c>
      <c r="AMJ65" s="71"/>
    </row>
    <row r="66" s="117" customFormat="true" ht="12.8" hidden="false" customHeight="false" outlineLevel="0" collapsed="false"/>
    <row r="67" customFormat="false" ht="13.05" hidden="false" customHeight="false" outlineLevel="0" collapsed="false">
      <c r="A67" s="101" t="s">
        <v>166</v>
      </c>
      <c r="B67" s="76"/>
      <c r="C67" s="76"/>
      <c r="D67" s="76"/>
      <c r="E67" s="76"/>
      <c r="F67" s="79" t="s">
        <v>167</v>
      </c>
      <c r="G67" s="79" t="s">
        <v>168</v>
      </c>
      <c r="H67" s="79" t="s">
        <v>169</v>
      </c>
      <c r="L67" s="72"/>
      <c r="M67" s="72"/>
      <c r="N67" s="72"/>
    </row>
    <row r="68" customFormat="false" ht="12.8" hidden="false" customHeight="false" outlineLevel="0" collapsed="false">
      <c r="A68" s="79" t="n">
        <v>1</v>
      </c>
      <c r="B68" s="79" t="s">
        <v>170</v>
      </c>
      <c r="C68" s="87" t="n">
        <v>3</v>
      </c>
      <c r="D68" s="79" t="s">
        <v>171</v>
      </c>
      <c r="E68" s="87" t="n">
        <v>60</v>
      </c>
      <c r="F68" s="87" t="n">
        <v>1</v>
      </c>
      <c r="G68" s="103" t="n">
        <f aca="false">C68*E68*F68</f>
        <v>180</v>
      </c>
      <c r="H68" s="129"/>
      <c r="L68" s="72"/>
      <c r="M68" s="72"/>
      <c r="N68" s="72"/>
    </row>
    <row r="69" customFormat="false" ht="12.8" hidden="false" customHeight="false" outlineLevel="0" collapsed="false">
      <c r="A69" s="79" t="n">
        <v>2</v>
      </c>
      <c r="B69" s="79" t="s">
        <v>170</v>
      </c>
      <c r="C69" s="87" t="n">
        <v>3</v>
      </c>
      <c r="D69" s="79" t="s">
        <v>171</v>
      </c>
      <c r="E69" s="87" t="n">
        <v>70</v>
      </c>
      <c r="F69" s="80"/>
      <c r="G69" s="129"/>
      <c r="H69" s="103" t="n">
        <f aca="false">C69*E69</f>
        <v>210</v>
      </c>
      <c r="L69" s="72"/>
      <c r="M69" s="72"/>
      <c r="N69" s="72"/>
    </row>
    <row r="70" customFormat="false" ht="13.05" hidden="false" customHeight="true" outlineLevel="0" collapsed="false">
      <c r="A70" s="112" t="s">
        <v>46</v>
      </c>
      <c r="B70" s="127" t="s">
        <v>172</v>
      </c>
      <c r="C70" s="127"/>
      <c r="D70" s="127"/>
      <c r="E70" s="127"/>
      <c r="F70" s="127"/>
      <c r="G70" s="114" t="n">
        <f aca="false">SUM(G68:G69)</f>
        <v>180</v>
      </c>
      <c r="H70" s="114" t="n">
        <f aca="false">SUM(H68:H69)</f>
        <v>210</v>
      </c>
      <c r="L70" s="72"/>
      <c r="M70" s="72"/>
      <c r="N70" s="72"/>
    </row>
    <row r="71" s="117" customFormat="true" ht="12.8" hidden="false" customHeight="false" outlineLevel="0" collapsed="false"/>
    <row r="72" customFormat="false" ht="35.4" hidden="false" customHeight="false" outlineLevel="0" collapsed="false">
      <c r="A72" s="101" t="s">
        <v>173</v>
      </c>
      <c r="B72" s="101"/>
      <c r="C72" s="101"/>
      <c r="D72" s="101"/>
      <c r="E72" s="101"/>
      <c r="F72" s="79" t="s">
        <v>174</v>
      </c>
      <c r="G72" s="79" t="s">
        <v>167</v>
      </c>
      <c r="H72" s="79" t="s">
        <v>168</v>
      </c>
      <c r="I72" s="79" t="s">
        <v>169</v>
      </c>
      <c r="L72" s="72"/>
      <c r="M72" s="72"/>
      <c r="N72" s="72"/>
    </row>
    <row r="73" customFormat="false" ht="12.8" hidden="false" customHeight="false" outlineLevel="0" collapsed="false">
      <c r="A73" s="79" t="n">
        <v>1</v>
      </c>
      <c r="B73" s="80" t="s">
        <v>175</v>
      </c>
      <c r="C73" s="87"/>
      <c r="D73" s="79" t="s">
        <v>171</v>
      </c>
      <c r="E73" s="87" t="n">
        <v>20</v>
      </c>
      <c r="F73" s="87" t="n">
        <v>1</v>
      </c>
      <c r="G73" s="87" t="n">
        <v>1</v>
      </c>
      <c r="H73" s="103" t="n">
        <f aca="false">C73*E73*F73*G73</f>
        <v>0</v>
      </c>
      <c r="I73" s="129"/>
      <c r="L73" s="72"/>
      <c r="M73" s="72"/>
      <c r="N73" s="72"/>
    </row>
    <row r="74" customFormat="false" ht="13.05" hidden="false" customHeight="false" outlineLevel="0" collapsed="false">
      <c r="A74" s="79" t="n">
        <v>2</v>
      </c>
      <c r="B74" s="82" t="s">
        <v>176</v>
      </c>
      <c r="C74" s="87"/>
      <c r="D74" s="79" t="s">
        <v>171</v>
      </c>
      <c r="E74" s="87" t="n">
        <v>100</v>
      </c>
      <c r="F74" s="87" t="n">
        <v>0.4</v>
      </c>
      <c r="G74" s="87" t="n">
        <v>1</v>
      </c>
      <c r="H74" s="103" t="n">
        <f aca="false">C74*E74*F74*G74</f>
        <v>0</v>
      </c>
      <c r="I74" s="129"/>
      <c r="L74" s="72"/>
      <c r="M74" s="72"/>
      <c r="N74" s="72"/>
    </row>
    <row r="75" customFormat="false" ht="13.05" hidden="false" customHeight="false" outlineLevel="0" collapsed="false">
      <c r="A75" s="79" t="n">
        <v>3</v>
      </c>
      <c r="B75" s="82" t="s">
        <v>177</v>
      </c>
      <c r="C75" s="87"/>
      <c r="D75" s="79" t="s">
        <v>171</v>
      </c>
      <c r="E75" s="87" t="n">
        <v>1000</v>
      </c>
      <c r="F75" s="87" t="n">
        <v>0.4</v>
      </c>
      <c r="G75" s="87" t="n">
        <v>1</v>
      </c>
      <c r="H75" s="103" t="n">
        <f aca="false">C75*E75*F75*G75</f>
        <v>0</v>
      </c>
      <c r="I75" s="129"/>
      <c r="L75" s="72"/>
      <c r="M75" s="72"/>
      <c r="N75" s="72"/>
    </row>
    <row r="76" customFormat="false" ht="23.85" hidden="false" customHeight="false" outlineLevel="0" collapsed="false">
      <c r="A76" s="79" t="n">
        <v>4</v>
      </c>
      <c r="B76" s="82" t="s">
        <v>178</v>
      </c>
      <c r="C76" s="87"/>
      <c r="D76" s="87"/>
      <c r="E76" s="87"/>
      <c r="F76" s="87" t="n">
        <v>1</v>
      </c>
      <c r="G76" s="87" t="n">
        <v>1</v>
      </c>
      <c r="H76" s="103" t="n">
        <f aca="false">SUM(C76+D76+E76)*F76*G76</f>
        <v>0</v>
      </c>
      <c r="I76" s="129"/>
      <c r="L76" s="72"/>
      <c r="M76" s="72"/>
      <c r="N76" s="72"/>
    </row>
    <row r="77" customFormat="false" ht="23.85" hidden="false" customHeight="false" outlineLevel="0" collapsed="false">
      <c r="A77" s="79" t="n">
        <v>5</v>
      </c>
      <c r="B77" s="82" t="s">
        <v>179</v>
      </c>
      <c r="C77" s="87" t="n">
        <v>3</v>
      </c>
      <c r="D77" s="79" t="s">
        <v>171</v>
      </c>
      <c r="E77" s="87" t="n">
        <f aca="false">B85</f>
        <v>37.1</v>
      </c>
      <c r="F77" s="87" t="n">
        <v>1</v>
      </c>
      <c r="G77" s="87" t="n">
        <v>1</v>
      </c>
      <c r="H77" s="103" t="n">
        <f aca="false">C77*E77*F77*G77</f>
        <v>111.3</v>
      </c>
      <c r="I77" s="129"/>
      <c r="L77" s="72"/>
      <c r="M77" s="72"/>
      <c r="N77" s="72"/>
    </row>
    <row r="78" customFormat="false" ht="23.85" hidden="false" customHeight="false" outlineLevel="0" collapsed="false">
      <c r="A78" s="79" t="n">
        <v>6</v>
      </c>
      <c r="B78" s="82" t="s">
        <v>180</v>
      </c>
      <c r="C78" s="87" t="n">
        <v>10</v>
      </c>
      <c r="D78" s="79" t="s">
        <v>171</v>
      </c>
      <c r="E78" s="87" t="n">
        <f aca="false">B85</f>
        <v>37.1</v>
      </c>
      <c r="F78" s="87" t="n">
        <v>1</v>
      </c>
      <c r="G78" s="87" t="n">
        <v>1</v>
      </c>
      <c r="H78" s="103" t="n">
        <f aca="false">C78*E78*F78*G78</f>
        <v>371</v>
      </c>
      <c r="I78" s="129"/>
      <c r="L78" s="72"/>
      <c r="M78" s="72"/>
      <c r="N78" s="72"/>
    </row>
    <row r="79" customFormat="false" ht="13.05" hidden="false" customHeight="false" outlineLevel="0" collapsed="false">
      <c r="A79" s="79" t="n">
        <v>7</v>
      </c>
      <c r="B79" s="80" t="s">
        <v>181</v>
      </c>
      <c r="C79" s="87"/>
      <c r="D79" s="87"/>
      <c r="E79" s="87"/>
      <c r="F79" s="87" t="n">
        <v>1</v>
      </c>
      <c r="G79" s="87" t="n">
        <v>1</v>
      </c>
      <c r="H79" s="103" t="n">
        <f aca="false">SUM(C79+D79+E79)*F79*G79</f>
        <v>0</v>
      </c>
      <c r="I79" s="129"/>
      <c r="J79" s="105"/>
      <c r="K79" s="105"/>
      <c r="L79" s="89"/>
      <c r="M79" s="89"/>
      <c r="N79" s="72"/>
    </row>
    <row r="80" customFormat="false" ht="13.05" hidden="false" customHeight="false" outlineLevel="0" collapsed="false">
      <c r="A80" s="79" t="n">
        <v>8</v>
      </c>
      <c r="B80" s="80" t="s">
        <v>182</v>
      </c>
      <c r="C80" s="87"/>
      <c r="D80" s="87"/>
      <c r="E80" s="87"/>
      <c r="F80" s="87" t="n">
        <v>1</v>
      </c>
      <c r="G80" s="80"/>
      <c r="H80" s="129"/>
      <c r="I80" s="103" t="n">
        <f aca="false">SUM(C80+D80+E80)*F80</f>
        <v>0</v>
      </c>
      <c r="J80" s="105"/>
      <c r="K80" s="105"/>
      <c r="L80" s="89"/>
      <c r="M80" s="89"/>
      <c r="N80" s="72"/>
    </row>
    <row r="81" customFormat="false" ht="13.05" hidden="false" customHeight="true" outlineLevel="0" collapsed="false">
      <c r="A81" s="112" t="s">
        <v>183</v>
      </c>
      <c r="B81" s="127" t="s">
        <v>184</v>
      </c>
      <c r="C81" s="127"/>
      <c r="D81" s="127"/>
      <c r="E81" s="127"/>
      <c r="F81" s="127"/>
      <c r="G81" s="127"/>
      <c r="H81" s="114" t="n">
        <f aca="false">SUM(H73:H80)</f>
        <v>482.3</v>
      </c>
      <c r="I81" s="114" t="n">
        <f aca="false">SUM(I73:I80)</f>
        <v>0</v>
      </c>
      <c r="L81" s="72"/>
      <c r="M81" s="72"/>
      <c r="N81" s="72"/>
    </row>
    <row r="82" s="117" customFormat="true" ht="12.8" hidden="false" customHeight="false" outlineLevel="0" collapsed="false"/>
    <row r="83" customFormat="false" ht="13.05" hidden="false" customHeight="true" outlineLevel="0" collapsed="false">
      <c r="A83" s="101" t="s">
        <v>185</v>
      </c>
      <c r="B83" s="88"/>
      <c r="C83" s="105"/>
      <c r="D83" s="105"/>
      <c r="E83" s="105"/>
      <c r="F83" s="88"/>
      <c r="G83" s="88"/>
      <c r="H83" s="118" t="s">
        <v>97</v>
      </c>
      <c r="I83" s="118"/>
      <c r="J83" s="118" t="s">
        <v>107</v>
      </c>
      <c r="K83" s="118"/>
      <c r="L83" s="72"/>
      <c r="M83" s="72"/>
      <c r="N83" s="72"/>
    </row>
    <row r="84" customFormat="false" ht="13.05" hidden="false" customHeight="false" outlineLevel="0" collapsed="false">
      <c r="A84" s="89"/>
      <c r="B84" s="79" t="s">
        <v>186</v>
      </c>
      <c r="C84" s="79" t="s">
        <v>187</v>
      </c>
      <c r="D84" s="79" t="s">
        <v>188</v>
      </c>
      <c r="E84" s="119"/>
      <c r="F84" s="130" t="s">
        <v>7</v>
      </c>
      <c r="G84" s="130" t="s">
        <v>7</v>
      </c>
      <c r="H84" s="79" t="s">
        <v>168</v>
      </c>
      <c r="I84" s="79" t="s">
        <v>169</v>
      </c>
      <c r="J84" s="79" t="s">
        <v>168</v>
      </c>
      <c r="K84" s="79" t="s">
        <v>169</v>
      </c>
      <c r="L84" s="72"/>
      <c r="M84" s="72"/>
      <c r="N84" s="72"/>
    </row>
    <row r="85" customFormat="false" ht="12.8" hidden="false" customHeight="false" outlineLevel="0" collapsed="false">
      <c r="A85" s="79" t="n">
        <v>1</v>
      </c>
      <c r="B85" s="87" t="n">
        <f aca="false">7*5.3</f>
        <v>37.1</v>
      </c>
      <c r="C85" s="87" t="n">
        <v>4.2</v>
      </c>
      <c r="D85" s="87" t="n">
        <v>1</v>
      </c>
      <c r="E85" s="119" t="s">
        <v>189</v>
      </c>
      <c r="F85" s="87"/>
      <c r="G85" s="131" t="n">
        <f aca="false">F85 + D85*B85*C85</f>
        <v>155.82</v>
      </c>
      <c r="H85" s="103" t="n">
        <f aca="false">1230*(G85/3600)*($D$9-$E$9)</f>
        <v>649.5097</v>
      </c>
      <c r="I85" s="103" t="n">
        <f aca="false">3010000*G85/3600*($D$11-$E$11)</f>
        <v>1004.96687610143</v>
      </c>
      <c r="J85" s="103" t="n">
        <f aca="false">1230*(G85/3600)*($D$15-$E$15)</f>
        <v>388.64105</v>
      </c>
      <c r="K85" s="103" t="n">
        <f aca="false">3010000*G85/3600*($D$17-$E$17)</f>
        <v>1520.6966869371</v>
      </c>
      <c r="L85" s="72"/>
    </row>
    <row r="86" customFormat="false" ht="13.05" hidden="false" customHeight="true" outlineLevel="0" collapsed="false">
      <c r="A86" s="112" t="s">
        <v>190</v>
      </c>
      <c r="B86" s="127" t="s">
        <v>191</v>
      </c>
      <c r="C86" s="127"/>
      <c r="D86" s="127"/>
      <c r="E86" s="127"/>
      <c r="F86" s="127"/>
      <c r="G86" s="127"/>
      <c r="H86" s="114" t="n">
        <f aca="false">SUM(H85:H85)</f>
        <v>649.5097</v>
      </c>
      <c r="I86" s="114" t="n">
        <f aca="false">SUM(I85:I85)</f>
        <v>1004.96687610143</v>
      </c>
      <c r="J86" s="114" t="n">
        <f aca="false">SUM(J85:J85)</f>
        <v>388.64105</v>
      </c>
      <c r="K86" s="114" t="n">
        <f aca="false">SUM(K85:K85)</f>
        <v>1520.6966869371</v>
      </c>
      <c r="L86" s="72"/>
    </row>
    <row r="87" customFormat="false" ht="12.8" hidden="false" customHeight="false" outlineLevel="0" collapsed="false">
      <c r="A87" s="132"/>
      <c r="B87" s="115"/>
      <c r="C87" s="115"/>
      <c r="D87" s="115"/>
      <c r="E87" s="115"/>
      <c r="F87" s="133"/>
      <c r="G87" s="133"/>
      <c r="L87" s="72"/>
    </row>
    <row r="88" customFormat="false" ht="13.05" hidden="false" customHeight="true" outlineLevel="0" collapsed="false">
      <c r="A88" s="74" t="s">
        <v>192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2"/>
    </row>
    <row r="89" customFormat="false" ht="12.8" hidden="false" customHeight="false" outlineLevel="0" collapsed="false">
      <c r="A89" s="74"/>
      <c r="B89" s="74"/>
      <c r="C89" s="74"/>
      <c r="D89" s="74"/>
      <c r="E89" s="74"/>
      <c r="F89" s="74"/>
      <c r="G89" s="133"/>
      <c r="L89" s="72"/>
    </row>
    <row r="90" customFormat="false" ht="13.05" hidden="false" customHeight="false" outlineLevel="0" collapsed="false">
      <c r="A90" s="88"/>
      <c r="B90" s="72"/>
      <c r="C90" s="72"/>
      <c r="D90" s="72"/>
      <c r="E90" s="79" t="s">
        <v>97</v>
      </c>
      <c r="F90" s="79" t="s">
        <v>107</v>
      </c>
      <c r="G90" s="72"/>
      <c r="J90" s="79" t="s">
        <v>97</v>
      </c>
      <c r="K90" s="79" t="s">
        <v>107</v>
      </c>
      <c r="L90" s="72"/>
    </row>
    <row r="91" customFormat="false" ht="24.25" hidden="false" customHeight="true" outlineLevel="0" collapsed="false">
      <c r="A91" s="79" t="s">
        <v>193</v>
      </c>
      <c r="B91" s="118" t="s">
        <v>120</v>
      </c>
      <c r="C91" s="118"/>
      <c r="D91" s="118"/>
      <c r="E91" s="79" t="s">
        <v>194</v>
      </c>
      <c r="F91" s="79" t="s">
        <v>194</v>
      </c>
      <c r="G91" s="89"/>
      <c r="H91" s="134"/>
      <c r="I91" s="134"/>
      <c r="J91" s="79"/>
      <c r="K91" s="79"/>
      <c r="L91" s="135"/>
    </row>
    <row r="92" customFormat="false" ht="13.8" hidden="false" customHeight="true" outlineLevel="0" collapsed="false">
      <c r="A92" s="79" t="n">
        <v>1</v>
      </c>
      <c r="B92" s="124" t="s">
        <v>195</v>
      </c>
      <c r="C92" s="124"/>
      <c r="D92" s="124"/>
      <c r="E92" s="103" t="n">
        <f aca="false">I51</f>
        <v>4392.8810065</v>
      </c>
      <c r="F92" s="103" t="n">
        <f aca="false">K51</f>
        <v>2178.6293455</v>
      </c>
      <c r="G92" s="135"/>
      <c r="H92" s="136" t="s">
        <v>196</v>
      </c>
      <c r="I92" s="136"/>
      <c r="J92" s="137" t="n">
        <f aca="false">(E97/E102)</f>
        <v>0.844390788876275</v>
      </c>
      <c r="K92" s="137" t="n">
        <f aca="false">(F97/F102)</f>
        <v>0.675824320454</v>
      </c>
      <c r="L92" s="72"/>
    </row>
    <row r="93" customFormat="false" ht="13.8" hidden="false" customHeight="true" outlineLevel="0" collapsed="false">
      <c r="A93" s="79" t="n">
        <v>2</v>
      </c>
      <c r="B93" s="124" t="s">
        <v>197</v>
      </c>
      <c r="C93" s="124"/>
      <c r="D93" s="124"/>
      <c r="E93" s="103" t="n">
        <f aca="false">H65</f>
        <v>888.150627</v>
      </c>
      <c r="F93" s="103" t="n">
        <f aca="false">K65</f>
        <v>378.494571</v>
      </c>
      <c r="G93" s="138"/>
      <c r="H93" s="136" t="s">
        <v>198</v>
      </c>
      <c r="I93" s="136"/>
      <c r="J93" s="139" t="n">
        <f aca="false">ROUND($E$107*3600/($B$85*$C$85),0)</f>
        <v>13</v>
      </c>
      <c r="K93" s="139" t="n">
        <f aca="false">ROUND($F$107*3600/($B$85*$C$85),0)</f>
        <v>7</v>
      </c>
      <c r="L93" s="72"/>
    </row>
    <row r="94" customFormat="false" ht="14.9" hidden="false" customHeight="true" outlineLevel="0" collapsed="false">
      <c r="A94" s="79" t="n">
        <v>3</v>
      </c>
      <c r="B94" s="124" t="s">
        <v>199</v>
      </c>
      <c r="C94" s="124"/>
      <c r="D94" s="124"/>
      <c r="E94" s="103" t="n">
        <f aca="false">G70</f>
        <v>180</v>
      </c>
      <c r="F94" s="103" t="n">
        <f aca="false">G70</f>
        <v>180</v>
      </c>
      <c r="G94" s="138"/>
      <c r="H94" s="136" t="s">
        <v>200</v>
      </c>
      <c r="I94" s="136"/>
      <c r="J94" s="139" t="n">
        <f aca="false">$E$9-($I$51+$H$65)/(SUMPRODUCT($G$28:$G$43, $F$28:$F$43) + $F$47*$G$47+ $F$49*$G$49)</f>
        <v>-27.0560809832419</v>
      </c>
      <c r="K94" s="139" t="n">
        <f aca="false">$E$15-($K$51+$K$65)/(SUMPRODUCT($G$28:$G$43, $F$28:$F$43) + $F$47*$G$47+ $F$49*$G$49)</f>
        <v>-0.206031495268203</v>
      </c>
      <c r="L94" s="72"/>
    </row>
    <row r="95" customFormat="false" ht="13.8" hidden="false" customHeight="true" outlineLevel="0" collapsed="false">
      <c r="A95" s="79" t="n">
        <v>4</v>
      </c>
      <c r="B95" s="124" t="s">
        <v>201</v>
      </c>
      <c r="C95" s="124"/>
      <c r="D95" s="124"/>
      <c r="E95" s="103" t="n">
        <f aca="false">H81</f>
        <v>482.3</v>
      </c>
      <c r="F95" s="103" t="n">
        <f aca="false">H81</f>
        <v>482.3</v>
      </c>
      <c r="G95" s="138"/>
      <c r="H95" s="136" t="s">
        <v>202</v>
      </c>
      <c r="I95" s="136"/>
      <c r="J95" s="140" t="n">
        <f aca="false">$M$54</f>
        <v>18</v>
      </c>
      <c r="K95" s="140" t="n">
        <f aca="false">$N$54</f>
        <v>18</v>
      </c>
      <c r="L95" s="72"/>
    </row>
    <row r="96" customFormat="false" ht="13.05" hidden="false" customHeight="true" outlineLevel="0" collapsed="false">
      <c r="A96" s="79" t="n">
        <v>5</v>
      </c>
      <c r="B96" s="124" t="s">
        <v>203</v>
      </c>
      <c r="C96" s="124"/>
      <c r="D96" s="124"/>
      <c r="E96" s="103" t="n">
        <f aca="false">H86</f>
        <v>649.5097</v>
      </c>
      <c r="F96" s="103" t="n">
        <f aca="false">J86</f>
        <v>388.64105</v>
      </c>
      <c r="L96" s="72"/>
    </row>
    <row r="97" customFormat="false" ht="13.05" hidden="false" customHeight="true" outlineLevel="0" collapsed="false">
      <c r="A97" s="141" t="s">
        <v>204</v>
      </c>
      <c r="B97" s="142" t="s">
        <v>205</v>
      </c>
      <c r="C97" s="142"/>
      <c r="D97" s="142"/>
      <c r="E97" s="143" t="n">
        <f aca="false">SUM(E92:E96)</f>
        <v>6592.8413335</v>
      </c>
      <c r="F97" s="143" t="n">
        <f aca="false">SUM(F92:F96)</f>
        <v>3608.0649665</v>
      </c>
      <c r="L97" s="72"/>
    </row>
    <row r="98" customFormat="false" ht="13.05" hidden="false" customHeight="true" outlineLevel="0" collapsed="false">
      <c r="A98" s="79" t="n">
        <v>1</v>
      </c>
      <c r="B98" s="124" t="s">
        <v>199</v>
      </c>
      <c r="C98" s="124"/>
      <c r="D98" s="124"/>
      <c r="E98" s="103" t="n">
        <f aca="false">H70</f>
        <v>210</v>
      </c>
      <c r="F98" s="103" t="n">
        <f aca="false">H70</f>
        <v>210</v>
      </c>
      <c r="L98" s="72"/>
    </row>
    <row r="99" customFormat="false" ht="13.05" hidden="false" customHeight="true" outlineLevel="0" collapsed="false">
      <c r="A99" s="79" t="n">
        <v>2</v>
      </c>
      <c r="B99" s="124" t="s">
        <v>206</v>
      </c>
      <c r="C99" s="124"/>
      <c r="D99" s="124"/>
      <c r="E99" s="103" t="n">
        <f aca="false">I81</f>
        <v>0</v>
      </c>
      <c r="F99" s="103" t="n">
        <f aca="false">I81</f>
        <v>0</v>
      </c>
      <c r="L99" s="72"/>
    </row>
    <row r="100" customFormat="false" ht="13.05" hidden="false" customHeight="true" outlineLevel="0" collapsed="false">
      <c r="A100" s="79" t="n">
        <v>3</v>
      </c>
      <c r="B100" s="124" t="s">
        <v>203</v>
      </c>
      <c r="C100" s="124"/>
      <c r="D100" s="124"/>
      <c r="E100" s="103" t="n">
        <f aca="false">I86</f>
        <v>1004.96687610143</v>
      </c>
      <c r="F100" s="103" t="n">
        <f aca="false">K86</f>
        <v>1520.6966869371</v>
      </c>
      <c r="L100" s="72"/>
    </row>
    <row r="101" customFormat="false" ht="13.05" hidden="false" customHeight="true" outlineLevel="0" collapsed="false">
      <c r="A101" s="141" t="s">
        <v>207</v>
      </c>
      <c r="B101" s="142" t="s">
        <v>208</v>
      </c>
      <c r="C101" s="142"/>
      <c r="D101" s="142"/>
      <c r="E101" s="143" t="n">
        <f aca="false">SUM(E98:E100)</f>
        <v>1214.96687610143</v>
      </c>
      <c r="F101" s="143" t="n">
        <f aca="false">SUM(F98:F100)</f>
        <v>1730.6966869371</v>
      </c>
      <c r="L101" s="72"/>
    </row>
    <row r="102" customFormat="false" ht="13.05" hidden="false" customHeight="true" outlineLevel="0" collapsed="false">
      <c r="A102" s="141" t="s">
        <v>209</v>
      </c>
      <c r="B102" s="142" t="s">
        <v>210</v>
      </c>
      <c r="C102" s="142"/>
      <c r="D102" s="142"/>
      <c r="E102" s="143" t="n">
        <f aca="false">E97+E101</f>
        <v>7807.80820960143</v>
      </c>
      <c r="F102" s="143" t="n">
        <f aca="false">F97+F101</f>
        <v>5338.7616534371</v>
      </c>
      <c r="L102" s="72"/>
    </row>
    <row r="103" s="147" customFormat="true" ht="12.8" hidden="false" customHeight="true" outlineLevel="0" collapsed="false">
      <c r="A103" s="79"/>
      <c r="B103" s="124" t="s">
        <v>211</v>
      </c>
      <c r="C103" s="124"/>
      <c r="D103" s="124"/>
      <c r="E103" s="144" t="n">
        <f aca="false">E115</f>
        <v>13.9068347126695</v>
      </c>
      <c r="F103" s="144" t="n">
        <f aca="false">F115</f>
        <v>13.6901058534663</v>
      </c>
      <c r="G103" s="70"/>
      <c r="H103" s="70"/>
      <c r="I103" s="70"/>
      <c r="J103" s="70"/>
      <c r="K103" s="70"/>
      <c r="L103" s="146"/>
    </row>
    <row r="104" customFormat="false" ht="13.05" hidden="false" customHeight="true" outlineLevel="0" collapsed="false">
      <c r="A104" s="79"/>
      <c r="B104" s="124" t="s">
        <v>212</v>
      </c>
      <c r="C104" s="124"/>
      <c r="D104" s="124"/>
      <c r="E104" s="148" t="n">
        <f aca="false">E97/(1230*($E$9-E103))</f>
        <v>0.483183425617327</v>
      </c>
      <c r="F104" s="148" t="n">
        <f aca="false">F97/(1230*($E$15-F103))</f>
        <v>0.259364598255328</v>
      </c>
      <c r="L104" s="72"/>
    </row>
    <row r="105" customFormat="false" ht="13.05" hidden="false" customHeight="true" outlineLevel="0" collapsed="false">
      <c r="A105" s="141" t="s">
        <v>213</v>
      </c>
      <c r="B105" s="142" t="s">
        <v>214</v>
      </c>
      <c r="C105" s="142"/>
      <c r="D105" s="142"/>
      <c r="E105" s="143" t="n">
        <f aca="false">1230*E104*1</f>
        <v>594.315613509312</v>
      </c>
      <c r="F105" s="143" t="n">
        <f aca="false">1230*F104*1</f>
        <v>319.018455854054</v>
      </c>
      <c r="G105" s="73"/>
      <c r="L105" s="72"/>
    </row>
    <row r="106" s="150" customFormat="true" ht="13.05" hidden="false" customHeight="true" outlineLevel="0" collapsed="false">
      <c r="A106" s="141" t="s">
        <v>215</v>
      </c>
      <c r="B106" s="142" t="s">
        <v>216</v>
      </c>
      <c r="C106" s="142"/>
      <c r="D106" s="142"/>
      <c r="E106" s="149" t="n">
        <f aca="false">E123*1000</f>
        <v>250</v>
      </c>
      <c r="F106" s="149" t="n">
        <f aca="false">F123*1000</f>
        <v>140</v>
      </c>
      <c r="G106" s="73"/>
      <c r="H106" s="70"/>
      <c r="I106" s="70"/>
      <c r="J106" s="70"/>
      <c r="K106" s="70"/>
      <c r="L106" s="73"/>
      <c r="AMJ106" s="71"/>
    </row>
    <row r="107" s="150" customFormat="true" ht="13.05" hidden="false" customHeight="true" outlineLevel="0" collapsed="false">
      <c r="A107" s="79"/>
      <c r="B107" s="82" t="s">
        <v>217</v>
      </c>
      <c r="C107" s="82"/>
      <c r="D107" s="82"/>
      <c r="E107" s="148" t="n">
        <f aca="false">(E97+E105+E106)/(1230*($E$9-E103))</f>
        <v>0.545062559332357</v>
      </c>
      <c r="F107" s="148" t="n">
        <f aca="false">(F97+F105+F106)/(1230*($E$15-F103))</f>
        <v>0.292360993414436</v>
      </c>
      <c r="G107" s="72"/>
      <c r="H107" s="70"/>
      <c r="I107" s="70"/>
      <c r="J107" s="70"/>
      <c r="K107" s="70"/>
      <c r="L107" s="73"/>
      <c r="AMJ107" s="71"/>
    </row>
    <row r="108" customFormat="false" ht="24.25" hidden="false" customHeight="true" outlineLevel="0" collapsed="false">
      <c r="A108" s="79"/>
      <c r="B108" s="124" t="s">
        <v>218</v>
      </c>
      <c r="C108" s="124"/>
      <c r="D108" s="124"/>
      <c r="E108" s="151" t="n">
        <f aca="false">$E$11-E101/(3010000*E107)</f>
        <v>0.00838048142537097</v>
      </c>
      <c r="F108" s="151" t="n">
        <f aca="false">$E$17-F101/(3010000*F107)</f>
        <v>0.00854232292444586</v>
      </c>
      <c r="L108" s="72"/>
    </row>
    <row r="109" customFormat="false" ht="12.8" hidden="false" customHeight="true" outlineLevel="0" collapsed="false">
      <c r="A109" s="79"/>
      <c r="B109" s="124" t="s">
        <v>219</v>
      </c>
      <c r="C109" s="124"/>
      <c r="D109" s="124"/>
      <c r="E109" s="152" t="n">
        <v>0</v>
      </c>
      <c r="F109" s="152" t="n">
        <v>0</v>
      </c>
      <c r="L109" s="72"/>
    </row>
    <row r="110" customFormat="false" ht="12.8" hidden="false" customHeight="true" outlineLevel="0" collapsed="false">
      <c r="A110" s="79"/>
      <c r="B110" s="124" t="s">
        <v>220</v>
      </c>
      <c r="C110" s="124"/>
      <c r="D110" s="124"/>
      <c r="E110" s="152" t="n">
        <v>0.2</v>
      </c>
      <c r="F110" s="152" t="n">
        <v>0.2</v>
      </c>
      <c r="L110" s="72"/>
    </row>
    <row r="111" customFormat="false" ht="13.05" hidden="false" customHeight="true" outlineLevel="0" collapsed="false">
      <c r="A111" s="79"/>
      <c r="B111" s="124" t="s">
        <v>221</v>
      </c>
      <c r="C111" s="124"/>
      <c r="D111" s="124"/>
      <c r="E111" s="153" t="n">
        <f aca="false">E109*($D$9-$E$9)+$E$9</f>
        <v>25</v>
      </c>
      <c r="F111" s="153" t="n">
        <f aca="false">F109*($D$15-$E$15)+$E$15</f>
        <v>25</v>
      </c>
      <c r="L111" s="72"/>
    </row>
    <row r="112" customFormat="false" ht="13.05" hidden="false" customHeight="true" outlineLevel="0" collapsed="false">
      <c r="A112" s="79"/>
      <c r="B112" s="124" t="s">
        <v>222</v>
      </c>
      <c r="C112" s="124"/>
      <c r="D112" s="124"/>
      <c r="E112" s="151" t="n">
        <f aca="false">E109*($D$11-$E$11)+$E$11</f>
        <v>0.00912102665916356</v>
      </c>
      <c r="F112" s="151" t="n">
        <f aca="false">F109*($D$17-$E$17)+$E$17</f>
        <v>0.0105090089768624</v>
      </c>
      <c r="L112" s="72"/>
    </row>
    <row r="113" customFormat="false" ht="14.9" hidden="false" customHeight="true" outlineLevel="0" collapsed="false">
      <c r="A113" s="79"/>
      <c r="B113" s="124" t="s">
        <v>223</v>
      </c>
      <c r="C113" s="124"/>
      <c r="D113" s="124"/>
      <c r="E113" s="151" t="n">
        <f aca="false">(E108-E110*E112)/(1-E110)</f>
        <v>0.00819534511692282</v>
      </c>
      <c r="F113" s="151" t="n">
        <f aca="false">(F108-F110*F112)/(1-F110)</f>
        <v>0.00805065141134173</v>
      </c>
      <c r="L113" s="72"/>
    </row>
    <row r="114" s="147" customFormat="true" ht="14.9" hidden="false" customHeight="true" outlineLevel="0" collapsed="false">
      <c r="A114" s="154"/>
      <c r="B114" s="155" t="s">
        <v>224</v>
      </c>
      <c r="C114" s="155"/>
      <c r="D114" s="155"/>
      <c r="E114" s="156" t="n">
        <f aca="false">1730.63/(8.07131-LOG10(E113*101325/(0.62198+E108)*0.00750062))-233.426</f>
        <v>11.1335433908369</v>
      </c>
      <c r="F114" s="156" t="n">
        <f aca="false">1730.63/(8.07131-LOG10(F113*101325/(0.62198+F108)*0.00750062))-233.426</f>
        <v>10.8626323168328</v>
      </c>
      <c r="L114" s="146"/>
    </row>
    <row r="115" customFormat="false" ht="13.05" hidden="false" customHeight="true" outlineLevel="0" collapsed="false">
      <c r="A115" s="79"/>
      <c r="B115" s="124" t="s">
        <v>225</v>
      </c>
      <c r="C115" s="124"/>
      <c r="D115" s="124"/>
      <c r="E115" s="153" t="n">
        <f aca="false">E114+E110*(E111-E114)</f>
        <v>13.9068347126695</v>
      </c>
      <c r="F115" s="153" t="n">
        <f aca="false">F114+F110*(F111-F114)</f>
        <v>13.6901058534663</v>
      </c>
      <c r="L115" s="72"/>
    </row>
    <row r="116" customFormat="false" ht="13.8" hidden="false" customHeight="true" outlineLevel="0" collapsed="false">
      <c r="A116" s="141" t="s">
        <v>226</v>
      </c>
      <c r="B116" s="157" t="s">
        <v>227</v>
      </c>
      <c r="C116" s="157"/>
      <c r="D116" s="157"/>
      <c r="E116" s="143" t="n">
        <f aca="false">1230*E107*(E111-E115)</f>
        <v>7437.15694700932</v>
      </c>
      <c r="F116" s="143" t="n">
        <f aca="false">1230*F107*(F111-F115)</f>
        <v>4067.08342235405</v>
      </c>
      <c r="G116" s="135"/>
      <c r="H116" s="135"/>
      <c r="I116" s="135"/>
      <c r="J116" s="135"/>
      <c r="K116" s="135"/>
      <c r="L116" s="72"/>
    </row>
    <row r="117" s="150" customFormat="true" ht="13.05" hidden="false" customHeight="true" outlineLevel="0" collapsed="false">
      <c r="A117" s="141" t="s">
        <v>228</v>
      </c>
      <c r="B117" s="157" t="s">
        <v>229</v>
      </c>
      <c r="C117" s="157"/>
      <c r="D117" s="157"/>
      <c r="E117" s="143" t="n">
        <f aca="false">3010000*E107*(E112-E108)</f>
        <v>1214.96687610142</v>
      </c>
      <c r="F117" s="143" t="n">
        <f aca="false">3010000*F107*(F112-F108)</f>
        <v>1730.69668693661</v>
      </c>
      <c r="G117" s="74" t="s">
        <v>230</v>
      </c>
      <c r="H117" s="74"/>
      <c r="I117" s="74"/>
      <c r="J117" s="74"/>
      <c r="K117" s="74"/>
      <c r="AMJ117" s="71"/>
    </row>
    <row r="118" s="150" customFormat="true" ht="13.05" hidden="false" customHeight="true" outlineLevel="0" collapsed="false">
      <c r="A118" s="141" t="s">
        <v>231</v>
      </c>
      <c r="B118" s="157" t="s">
        <v>232</v>
      </c>
      <c r="C118" s="157"/>
      <c r="D118" s="157"/>
      <c r="E118" s="143" t="n">
        <f aca="false">E116+E117</f>
        <v>8652.12382311074</v>
      </c>
      <c r="F118" s="143" t="n">
        <f aca="false">F116+F117</f>
        <v>5797.78010929066</v>
      </c>
      <c r="G118" s="70"/>
      <c r="H118" s="105"/>
      <c r="I118" s="70"/>
      <c r="J118" s="70"/>
      <c r="K118" s="70"/>
      <c r="AMJ118" s="71"/>
    </row>
    <row r="119" s="150" customFormat="true" ht="12.8" hidden="false" customHeight="true" outlineLevel="0" collapsed="false">
      <c r="A119" s="141"/>
      <c r="B119" s="157" t="s">
        <v>233</v>
      </c>
      <c r="C119" s="157"/>
      <c r="D119" s="157"/>
      <c r="E119" s="158" t="n">
        <f aca="false">E118/3517</f>
        <v>2.46008638700902</v>
      </c>
      <c r="F119" s="158" t="n">
        <f aca="false">F118/3517</f>
        <v>1.64850159490778</v>
      </c>
      <c r="G119" s="159" t="s">
        <v>204</v>
      </c>
      <c r="H119" s="160" t="s">
        <v>234</v>
      </c>
      <c r="I119" s="160"/>
      <c r="J119" s="161" t="n">
        <f aca="false">MAX(E119:F119)*1.1</f>
        <v>2.70609502570993</v>
      </c>
      <c r="K119" s="150" t="s">
        <v>17</v>
      </c>
      <c r="AMJ119" s="71"/>
    </row>
    <row r="120" customFormat="false" ht="12.8" hidden="false" customHeight="true" outlineLevel="0" collapsed="false">
      <c r="A120" s="162" t="s">
        <v>235</v>
      </c>
      <c r="B120" s="163" t="s">
        <v>236</v>
      </c>
      <c r="C120" s="163"/>
      <c r="D120" s="163"/>
      <c r="E120" s="164" t="n">
        <f aca="false">1230*E107*(E103-E115)/1000</f>
        <v>0</v>
      </c>
      <c r="F120" s="164" t="n">
        <f aca="false">1230*F107*(F103-F115)/1000</f>
        <v>0</v>
      </c>
      <c r="G120" s="159" t="s">
        <v>207</v>
      </c>
      <c r="H120" s="160" t="s">
        <v>237</v>
      </c>
      <c r="I120" s="160"/>
      <c r="J120" s="165" t="n">
        <f aca="false">MAX(E121:F121)*1.1</f>
        <v>2158.44773495613</v>
      </c>
      <c r="K120" s="150" t="s">
        <v>7</v>
      </c>
      <c r="L120" s="72"/>
    </row>
    <row r="121" customFormat="false" ht="24.25" hidden="false" customHeight="true" outlineLevel="0" collapsed="false">
      <c r="A121" s="141" t="s">
        <v>238</v>
      </c>
      <c r="B121" s="157" t="s">
        <v>239</v>
      </c>
      <c r="C121" s="157"/>
      <c r="D121" s="157"/>
      <c r="E121" s="143" t="n">
        <f aca="false">E107*3600</f>
        <v>1962.22521359649</v>
      </c>
      <c r="F121" s="143" t="n">
        <f aca="false">F107*3600</f>
        <v>1052.49957629197</v>
      </c>
      <c r="G121" s="74"/>
      <c r="H121" s="166" t="s">
        <v>240</v>
      </c>
      <c r="I121" s="166"/>
      <c r="J121" s="167"/>
      <c r="K121" s="74"/>
    </row>
    <row r="122" customFormat="false" ht="12.8" hidden="false" customHeight="true" outlineLevel="0" collapsed="false">
      <c r="A122" s="79"/>
      <c r="B122" s="82" t="s">
        <v>241</v>
      </c>
      <c r="C122" s="82"/>
      <c r="D122" s="82"/>
      <c r="E122" s="168" t="n">
        <v>300</v>
      </c>
      <c r="F122" s="168" t="n">
        <v>300</v>
      </c>
      <c r="H122" s="169" t="s">
        <v>242</v>
      </c>
      <c r="I122" s="169"/>
      <c r="J122" s="170" t="n">
        <f aca="false">ROUND((J120/1.7)/J119,0)</f>
        <v>469</v>
      </c>
    </row>
    <row r="123" customFormat="false" ht="13.05" hidden="false" customHeight="true" outlineLevel="0" collapsed="false">
      <c r="A123" s="79"/>
      <c r="B123" s="82" t="s">
        <v>243</v>
      </c>
      <c r="C123" s="82"/>
      <c r="D123" s="82"/>
      <c r="E123" s="148" t="n">
        <f aca="false">ROUNDUP(E107*E122/(0.7*0.95)/1000,2)</f>
        <v>0.25</v>
      </c>
      <c r="F123" s="148" t="n">
        <f aca="false">ROUNDUP(F107*F122/(0.7*0.95)/1000,2)</f>
        <v>0.14</v>
      </c>
      <c r="H123" s="169" t="s">
        <v>244</v>
      </c>
      <c r="I123" s="169"/>
      <c r="J123" s="170" t="n">
        <f aca="false">ROUND(B85/J119,1)</f>
        <v>13.7</v>
      </c>
    </row>
    <row r="124" customFormat="false" ht="13.8" hidden="false" customHeight="false" outlineLevel="0" collapsed="false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</row>
    <row r="125" s="70" customFormat="true" ht="13.8" hidden="false" customHeight="false" outlineLevel="0" collapsed="false">
      <c r="G125" s="135"/>
      <c r="H125" s="135"/>
      <c r="I125" s="135"/>
      <c r="J125" s="135"/>
      <c r="K125" s="135"/>
      <c r="AMJ125" s="71"/>
    </row>
    <row r="126" s="70" customFormat="true" ht="13.8" hidden="false" customHeight="false" outlineLevel="0" collapsed="false">
      <c r="G126" s="135"/>
      <c r="H126" s="135"/>
      <c r="I126" s="135"/>
      <c r="J126" s="135"/>
      <c r="K126" s="135"/>
      <c r="AMJ126" s="71"/>
    </row>
    <row r="127" s="70" customFormat="true" ht="12.8" hidden="false" customHeight="false" outlineLevel="0" collapsed="false">
      <c r="AMJ127" s="71"/>
    </row>
    <row r="128" s="70" customFormat="true" ht="12.8" hidden="false" customHeight="false" outlineLevel="0" collapsed="false">
      <c r="AMJ128" s="71"/>
    </row>
  </sheetData>
  <mergeCells count="108">
    <mergeCell ref="A2:K2"/>
    <mergeCell ref="B4:G4"/>
    <mergeCell ref="B5:G5"/>
    <mergeCell ref="E6:G6"/>
    <mergeCell ref="A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F53:H53"/>
    <mergeCell ref="I53:K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0:F70"/>
    <mergeCell ref="A72:E72"/>
    <mergeCell ref="B81:G81"/>
    <mergeCell ref="H83:I83"/>
    <mergeCell ref="J83:K83"/>
    <mergeCell ref="B86:G86"/>
    <mergeCell ref="A88:K88"/>
    <mergeCell ref="B91:D91"/>
    <mergeCell ref="H91:I91"/>
    <mergeCell ref="B92:D92"/>
    <mergeCell ref="H92:I92"/>
    <mergeCell ref="B93:D93"/>
    <mergeCell ref="H93:I93"/>
    <mergeCell ref="B94:D94"/>
    <mergeCell ref="H94:I94"/>
    <mergeCell ref="B95:D95"/>
    <mergeCell ref="H95:I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G117:K117"/>
    <mergeCell ref="B118:D118"/>
    <mergeCell ref="B119:D119"/>
    <mergeCell ref="H119:I119"/>
    <mergeCell ref="B120:D120"/>
    <mergeCell ref="H120:I120"/>
    <mergeCell ref="B121:D121"/>
    <mergeCell ref="H121:I121"/>
    <mergeCell ref="B122:D122"/>
    <mergeCell ref="H122:I122"/>
    <mergeCell ref="B123:D123"/>
    <mergeCell ref="H123:I12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1" man="true" max="16383" min="0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115" zoomScalePageLayoutView="13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69" width="11.64"/>
    <col collapsed="false" customWidth="true" hidden="false" outlineLevel="0" max="2" min="2" style="69" width="15.8"/>
    <col collapsed="false" customWidth="true" hidden="false" outlineLevel="0" max="3" min="3" style="69" width="9.83"/>
    <col collapsed="false" customWidth="true" hidden="false" outlineLevel="0" max="4" min="4" style="69" width="9.24"/>
    <col collapsed="false" customWidth="true" hidden="false" outlineLevel="0" max="5" min="5" style="70" width="9.51"/>
    <col collapsed="false" customWidth="true" hidden="false" outlineLevel="0" max="6" min="6" style="70" width="8.14"/>
    <col collapsed="false" customWidth="true" hidden="false" outlineLevel="0" max="7" min="7" style="70" width="8.79"/>
    <col collapsed="false" customWidth="true" hidden="false" outlineLevel="0" max="8" min="8" style="70" width="13.55"/>
    <col collapsed="false" customWidth="true" hidden="false" outlineLevel="0" max="9" min="9" style="70" width="8.55"/>
    <col collapsed="false" customWidth="true" hidden="false" outlineLevel="0" max="10" min="10" style="70" width="10.25"/>
    <col collapsed="false" customWidth="false" hidden="false" outlineLevel="0" max="12" min="11" style="70" width="9.13"/>
    <col collapsed="false" customWidth="true" hidden="false" outlineLevel="0" max="13" min="13" style="70" width="11.94"/>
    <col collapsed="false" customWidth="false" hidden="false" outlineLevel="0" max="1023" min="14" style="70" width="9.13"/>
    <col collapsed="false" customWidth="false" hidden="false" outlineLevel="0" max="1024" min="1024" style="71" width="9.13"/>
  </cols>
  <sheetData>
    <row r="1" customFormat="false" ht="12.8" hidden="false" customHeight="false" outlineLevel="0" collapsed="false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3.05" hidden="false" customHeight="true" outlineLevel="0" collapsed="false">
      <c r="A2" s="74" t="s">
        <v>86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customFormat="false" ht="12.8" hidden="false" customHeight="false" outlineLevel="0" collapsed="false">
      <c r="A3" s="72"/>
      <c r="B3" s="72"/>
      <c r="C3" s="72"/>
      <c r="D3" s="72"/>
      <c r="E3" s="72"/>
      <c r="F3" s="72"/>
      <c r="G3" s="76"/>
      <c r="H3" s="72"/>
      <c r="I3" s="72"/>
      <c r="J3" s="72"/>
      <c r="K3" s="72"/>
    </row>
    <row r="4" customFormat="false" ht="13.05" hidden="false" customHeight="false" outlineLevel="0" collapsed="false">
      <c r="A4" s="77" t="s">
        <v>87</v>
      </c>
      <c r="B4" s="77"/>
      <c r="C4" s="77"/>
      <c r="D4" s="77"/>
      <c r="E4" s="77"/>
      <c r="F4" s="77"/>
      <c r="G4" s="77"/>
      <c r="H4" s="78" t="s">
        <v>88</v>
      </c>
      <c r="I4" s="79"/>
      <c r="J4" s="80" t="s">
        <v>89</v>
      </c>
      <c r="K4" s="81"/>
    </row>
    <row r="5" customFormat="false" ht="12.8" hidden="false" customHeight="true" outlineLevel="0" collapsed="false">
      <c r="A5" s="82" t="s">
        <v>90</v>
      </c>
      <c r="B5" s="83" t="s">
        <v>247</v>
      </c>
      <c r="C5" s="83"/>
      <c r="D5" s="83"/>
      <c r="E5" s="83"/>
      <c r="F5" s="83"/>
      <c r="G5" s="83"/>
      <c r="H5" s="84" t="s">
        <v>92</v>
      </c>
      <c r="I5" s="79"/>
      <c r="J5" s="80" t="s">
        <v>89</v>
      </c>
      <c r="K5" s="85"/>
      <c r="L5" s="86"/>
    </row>
    <row r="6" customFormat="false" ht="13.05" hidden="false" customHeight="false" outlineLevel="0" collapsed="false">
      <c r="A6" s="80" t="s">
        <v>93</v>
      </c>
      <c r="B6" s="87" t="n">
        <v>1</v>
      </c>
      <c r="C6" s="79" t="s">
        <v>94</v>
      </c>
      <c r="D6" s="87" t="n">
        <v>1</v>
      </c>
      <c r="E6" s="80"/>
      <c r="F6" s="80"/>
      <c r="G6" s="80"/>
      <c r="H6" s="84" t="s">
        <v>95</v>
      </c>
      <c r="I6" s="79"/>
      <c r="J6" s="80" t="s">
        <v>89</v>
      </c>
      <c r="K6" s="81"/>
      <c r="L6" s="72"/>
    </row>
    <row r="7" customFormat="false" ht="13.05" hidden="false" customHeight="true" outlineLevel="0" collapsed="false">
      <c r="A7" s="88" t="s">
        <v>96</v>
      </c>
      <c r="B7" s="88"/>
      <c r="C7" s="88"/>
      <c r="D7" s="88"/>
      <c r="E7" s="88"/>
      <c r="F7" s="72"/>
      <c r="G7" s="72"/>
      <c r="H7" s="72"/>
      <c r="I7" s="89"/>
      <c r="J7" s="72"/>
      <c r="K7" s="90"/>
      <c r="L7" s="72"/>
    </row>
    <row r="8" customFormat="false" ht="13.05" hidden="false" customHeight="true" outlineLevel="0" collapsed="false">
      <c r="A8" s="91" t="s">
        <v>97</v>
      </c>
      <c r="B8" s="91"/>
      <c r="C8" s="80"/>
      <c r="D8" s="92" t="s">
        <v>98</v>
      </c>
      <c r="E8" s="92" t="s">
        <v>99</v>
      </c>
      <c r="F8" s="92" t="s">
        <v>100</v>
      </c>
      <c r="G8" s="72"/>
      <c r="H8" s="93" t="s">
        <v>101</v>
      </c>
      <c r="I8" s="89"/>
      <c r="J8" s="72"/>
      <c r="K8" s="90"/>
      <c r="L8" s="72"/>
    </row>
    <row r="9" customFormat="false" ht="12.8" hidden="false" customHeight="true" outlineLevel="0" collapsed="false">
      <c r="A9" s="82" t="s">
        <v>102</v>
      </c>
      <c r="B9" s="82"/>
      <c r="C9" s="80"/>
      <c r="D9" s="94" t="n">
        <v>37.2</v>
      </c>
      <c r="E9" s="87" t="n">
        <v>25</v>
      </c>
      <c r="F9" s="80"/>
      <c r="G9" s="72"/>
      <c r="H9" s="95" t="s">
        <v>103</v>
      </c>
      <c r="I9" s="89"/>
      <c r="J9" s="72"/>
      <c r="K9" s="90"/>
      <c r="L9" s="72"/>
    </row>
    <row r="10" customFormat="false" ht="12.8" hidden="false" customHeight="true" outlineLevel="0" collapsed="false">
      <c r="A10" s="82" t="s">
        <v>104</v>
      </c>
      <c r="B10" s="82"/>
      <c r="C10" s="80"/>
      <c r="D10" s="94" t="n">
        <v>41</v>
      </c>
      <c r="E10" s="87" t="n">
        <v>44</v>
      </c>
      <c r="F10" s="80"/>
      <c r="G10" s="72"/>
      <c r="H10" s="96"/>
      <c r="I10" s="89"/>
      <c r="J10" s="72"/>
      <c r="K10" s="90"/>
      <c r="L10" s="72"/>
    </row>
    <row r="11" customFormat="false" ht="13.05" hidden="false" customHeight="true" outlineLevel="0" collapsed="false">
      <c r="A11" s="82" t="s">
        <v>105</v>
      </c>
      <c r="B11" s="82"/>
      <c r="C11" s="80"/>
      <c r="D11" s="97" t="n">
        <f aca="false">0.62198/(101325/(EXP(77.345+0.0057*(273+D9)- 7235/(273+D9))/(273+D9)^8.2)-1)*D10/100</f>
        <v>0.016834758778653</v>
      </c>
      <c r="E11" s="97" t="n">
        <f aca="false">0.62198/(101325/(EXP(77.345+0.0057*(273+E9)- 7235/(273+E9))/(273+E9)^8.2)-1)*E10/100</f>
        <v>0.00872446028267819</v>
      </c>
      <c r="F11" s="80"/>
      <c r="G11" s="72"/>
      <c r="H11" s="72"/>
      <c r="I11" s="89"/>
      <c r="J11" s="72"/>
      <c r="K11" s="90"/>
      <c r="L11" s="72"/>
    </row>
    <row r="12" customFormat="false" ht="13.05" hidden="false" customHeight="true" outlineLevel="0" collapsed="false">
      <c r="A12" s="82" t="s">
        <v>106</v>
      </c>
      <c r="B12" s="82"/>
      <c r="C12" s="80"/>
      <c r="D12" s="79"/>
      <c r="E12" s="79"/>
      <c r="F12" s="87" t="n">
        <v>10.5</v>
      </c>
      <c r="G12" s="72"/>
      <c r="H12" s="72"/>
      <c r="I12" s="89"/>
      <c r="J12" s="72"/>
      <c r="K12" s="90"/>
      <c r="L12" s="72"/>
    </row>
    <row r="13" customFormat="false" ht="12.8" hidden="false" customHeight="false" outlineLevel="0" collapsed="false">
      <c r="A13" s="82"/>
      <c r="B13" s="82"/>
      <c r="C13" s="80"/>
      <c r="D13" s="79"/>
      <c r="E13" s="79"/>
      <c r="F13" s="79"/>
      <c r="G13" s="72"/>
      <c r="H13" s="72"/>
      <c r="I13" s="89"/>
      <c r="J13" s="72"/>
      <c r="K13" s="90"/>
      <c r="L13" s="72"/>
    </row>
    <row r="14" customFormat="false" ht="13.05" hidden="false" customHeight="true" outlineLevel="0" collapsed="false">
      <c r="A14" s="91" t="s">
        <v>107</v>
      </c>
      <c r="B14" s="91"/>
      <c r="C14" s="80"/>
      <c r="D14" s="98"/>
      <c r="E14" s="98"/>
      <c r="F14" s="80"/>
      <c r="G14" s="72"/>
      <c r="H14" s="72"/>
      <c r="I14" s="89"/>
      <c r="J14" s="72"/>
      <c r="K14" s="90"/>
      <c r="L14" s="72"/>
    </row>
    <row r="15" customFormat="false" ht="12.8" hidden="false" customHeight="true" outlineLevel="0" collapsed="false">
      <c r="A15" s="82" t="s">
        <v>102</v>
      </c>
      <c r="B15" s="82"/>
      <c r="C15" s="80"/>
      <c r="D15" s="94" t="n">
        <v>32.3</v>
      </c>
      <c r="E15" s="87" t="n">
        <v>25</v>
      </c>
      <c r="F15" s="80"/>
      <c r="G15" s="72"/>
      <c r="H15" s="72"/>
      <c r="I15" s="89"/>
      <c r="J15" s="72"/>
      <c r="K15" s="90"/>
      <c r="L15" s="72"/>
    </row>
    <row r="16" customFormat="false" ht="12.8" hidden="false" customHeight="true" outlineLevel="0" collapsed="false">
      <c r="A16" s="82" t="s">
        <v>104</v>
      </c>
      <c r="B16" s="82"/>
      <c r="C16" s="80"/>
      <c r="D16" s="94" t="n">
        <v>72</v>
      </c>
      <c r="E16" s="87" t="n">
        <v>45</v>
      </c>
      <c r="F16" s="80"/>
      <c r="G16" s="72"/>
      <c r="H16" s="72"/>
      <c r="I16" s="89"/>
      <c r="J16" s="72"/>
      <c r="K16" s="90"/>
      <c r="L16" s="72"/>
    </row>
    <row r="17" customFormat="false" ht="13.05" hidden="false" customHeight="true" outlineLevel="0" collapsed="false">
      <c r="A17" s="82" t="s">
        <v>105</v>
      </c>
      <c r="B17" s="82"/>
      <c r="C17" s="80"/>
      <c r="D17" s="97" t="n">
        <f aca="false">0.62198/(101325/(EXP(77.345+0.0057*(273+D15)- 7235/(273+D15))/(273+D15)^8.2)-1)*D16/100</f>
        <v>0.0221812811253068</v>
      </c>
      <c r="E17" s="97" t="n">
        <f aca="false">0.62198/(101325/(EXP(77.345+0.0057*(273+E15)- 7235/(273+E15))/(273+E15)^8.2)-1)*E16/100</f>
        <v>0.00892274347092087</v>
      </c>
      <c r="F17" s="80"/>
      <c r="G17" s="72"/>
      <c r="H17" s="72"/>
      <c r="I17" s="89"/>
      <c r="J17" s="72"/>
      <c r="K17" s="90"/>
      <c r="L17" s="72"/>
    </row>
    <row r="18" customFormat="false" ht="13.05" hidden="false" customHeight="true" outlineLevel="0" collapsed="false">
      <c r="A18" s="82" t="s">
        <v>106</v>
      </c>
      <c r="B18" s="82"/>
      <c r="C18" s="80"/>
      <c r="D18" s="79"/>
      <c r="E18" s="79"/>
      <c r="F18" s="87" t="n">
        <v>10.5</v>
      </c>
      <c r="G18" s="72"/>
      <c r="H18" s="72"/>
      <c r="I18" s="89"/>
      <c r="J18" s="72"/>
      <c r="K18" s="90"/>
      <c r="L18" s="72"/>
    </row>
    <row r="19" customFormat="false" ht="12.8" hidden="false" customHeight="false" outlineLevel="0" collapsed="false">
      <c r="A19" s="82"/>
      <c r="B19" s="82"/>
      <c r="C19" s="80"/>
      <c r="D19" s="80"/>
      <c r="E19" s="80"/>
      <c r="F19" s="80"/>
      <c r="G19" s="72"/>
      <c r="H19" s="72"/>
      <c r="I19" s="89"/>
      <c r="J19" s="72"/>
      <c r="K19" s="90"/>
      <c r="L19" s="72"/>
    </row>
    <row r="20" customFormat="false" ht="13.05" hidden="false" customHeight="false" outlineLevel="0" collapsed="false">
      <c r="A20" s="80" t="s">
        <v>108</v>
      </c>
      <c r="B20" s="80"/>
      <c r="C20" s="80"/>
      <c r="D20" s="99" t="s">
        <v>109</v>
      </c>
      <c r="E20" s="79"/>
      <c r="F20" s="80"/>
      <c r="G20" s="72"/>
      <c r="H20" s="72"/>
      <c r="I20" s="89"/>
      <c r="J20" s="72"/>
      <c r="K20" s="90"/>
      <c r="L20" s="72"/>
    </row>
    <row r="21" customFormat="false" ht="13.05" hidden="false" customHeight="false" outlineLevel="0" collapsed="false">
      <c r="A21" s="80"/>
      <c r="B21" s="80" t="s">
        <v>110</v>
      </c>
      <c r="C21" s="87" t="s">
        <v>111</v>
      </c>
      <c r="D21" s="100" t="s">
        <v>112</v>
      </c>
      <c r="E21" s="100" t="s">
        <v>113</v>
      </c>
      <c r="F21" s="80"/>
      <c r="G21" s="72"/>
      <c r="H21" s="72"/>
      <c r="I21" s="89"/>
      <c r="J21" s="72"/>
      <c r="K21" s="90"/>
      <c r="L21" s="72"/>
    </row>
    <row r="22" customFormat="false" ht="13.05" hidden="false" customHeight="false" outlineLevel="0" collapsed="false">
      <c r="A22" s="80"/>
      <c r="B22" s="80" t="s">
        <v>114</v>
      </c>
      <c r="C22" s="100" t="s">
        <v>111</v>
      </c>
      <c r="D22" s="87" t="s">
        <v>112</v>
      </c>
      <c r="E22" s="100" t="s">
        <v>113</v>
      </c>
      <c r="F22" s="80"/>
      <c r="G22" s="72"/>
      <c r="H22" s="72"/>
      <c r="I22" s="89"/>
      <c r="J22" s="72"/>
      <c r="K22" s="90"/>
      <c r="L22" s="72"/>
    </row>
    <row r="23" customFormat="false" ht="13.05" hidden="false" customHeight="false" outlineLevel="0" collapsed="false">
      <c r="A23" s="80"/>
      <c r="B23" s="80" t="s">
        <v>115</v>
      </c>
      <c r="C23" s="100" t="s">
        <v>116</v>
      </c>
      <c r="D23" s="87" t="s">
        <v>117</v>
      </c>
      <c r="E23" s="100" t="s">
        <v>118</v>
      </c>
      <c r="F23" s="80"/>
      <c r="G23" s="72"/>
      <c r="H23" s="72"/>
      <c r="I23" s="89"/>
      <c r="J23" s="72"/>
      <c r="K23" s="90"/>
      <c r="L23" s="72"/>
    </row>
    <row r="24" customFormat="false" ht="12.8" hidden="false" customHeight="false" outlineLevel="0" collapsed="false">
      <c r="A24" s="72"/>
      <c r="B24" s="72"/>
      <c r="C24" s="89"/>
      <c r="D24" s="72"/>
      <c r="E24" s="72"/>
      <c r="F24" s="72"/>
      <c r="G24" s="72"/>
      <c r="H24" s="72"/>
      <c r="I24" s="89"/>
      <c r="J24" s="72"/>
      <c r="K24" s="90"/>
      <c r="L24" s="72"/>
    </row>
    <row r="25" customFormat="false" ht="12.8" hidden="false" customHeight="false" outlineLevel="0" collapsed="false">
      <c r="A25" s="101" t="s">
        <v>119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88"/>
      <c r="M25" s="72"/>
    </row>
    <row r="26" customFormat="false" ht="13.05" hidden="false" customHeight="true" outlineLevel="0" collapsed="false">
      <c r="A26" s="79" t="s">
        <v>120</v>
      </c>
      <c r="B26" s="79" t="s">
        <v>121</v>
      </c>
      <c r="C26" s="79"/>
      <c r="D26" s="79"/>
      <c r="E26" s="79"/>
      <c r="F26" s="79" t="s">
        <v>122</v>
      </c>
      <c r="G26" s="79" t="s">
        <v>123</v>
      </c>
      <c r="H26" s="79" t="s">
        <v>97</v>
      </c>
      <c r="I26" s="79" t="s">
        <v>124</v>
      </c>
      <c r="J26" s="79" t="s">
        <v>107</v>
      </c>
      <c r="K26" s="79" t="s">
        <v>124</v>
      </c>
      <c r="L26" s="72"/>
      <c r="M26" s="69"/>
    </row>
    <row r="27" customFormat="false" ht="24.25" hidden="false" customHeight="false" outlineLevel="0" collapsed="false">
      <c r="A27" s="79" t="s">
        <v>125</v>
      </c>
      <c r="B27" s="79"/>
      <c r="C27" s="79"/>
      <c r="D27" s="79"/>
      <c r="E27" s="79"/>
      <c r="F27" s="79" t="s">
        <v>126</v>
      </c>
      <c r="G27" s="79" t="s">
        <v>127</v>
      </c>
      <c r="H27" s="79" t="s">
        <v>128</v>
      </c>
      <c r="I27" s="79" t="s">
        <v>129</v>
      </c>
      <c r="J27" s="79" t="s">
        <v>128</v>
      </c>
      <c r="K27" s="79" t="s">
        <v>129</v>
      </c>
      <c r="L27" s="72"/>
    </row>
    <row r="28" customFormat="false" ht="12.8" hidden="false" customHeight="true" outlineLevel="0" collapsed="false">
      <c r="A28" s="79" t="n">
        <v>1</v>
      </c>
      <c r="B28" s="80" t="s">
        <v>130</v>
      </c>
      <c r="C28" s="80"/>
      <c r="D28" s="80"/>
      <c r="E28" s="80"/>
      <c r="F28" s="87"/>
      <c r="G28" s="87" t="n">
        <v>2.28</v>
      </c>
      <c r="H28" s="102" t="n">
        <f aca="false">VALUES!$F46+(25.6-$E$9)+($D$9-0.5*$F$12-29.4)</f>
        <v>12.45</v>
      </c>
      <c r="I28" s="103" t="n">
        <f aca="false">F28*G28*H28</f>
        <v>0</v>
      </c>
      <c r="J28" s="102" t="n">
        <f aca="false">VALUES!$I46+(25.6-$E$15)+($D$15-0.5*$F$18-29.4)</f>
        <v>2.95</v>
      </c>
      <c r="K28" s="103" t="n">
        <f aca="false">F28*G28*J28</f>
        <v>0</v>
      </c>
      <c r="L28" s="72"/>
    </row>
    <row r="29" customFormat="false" ht="13.05" hidden="false" customHeight="true" outlineLevel="0" collapsed="false">
      <c r="A29" s="79" t="n">
        <v>2</v>
      </c>
      <c r="B29" s="80" t="s">
        <v>131</v>
      </c>
      <c r="C29" s="80"/>
      <c r="D29" s="80"/>
      <c r="E29" s="80"/>
      <c r="F29" s="87"/>
      <c r="G29" s="87" t="n">
        <v>2.28</v>
      </c>
      <c r="H29" s="102" t="n">
        <f aca="false">VALUES!$F47+(25.6-$E$9)+($D$9-0.5*$F$12-29.4)</f>
        <v>12.85</v>
      </c>
      <c r="I29" s="103" t="n">
        <f aca="false">F29*G29*H29</f>
        <v>0</v>
      </c>
      <c r="J29" s="102" t="n">
        <f aca="false">VALUES!$I47+(25.6-$E$15)+($D$15-0.5*$F$18-29.4)</f>
        <v>4.05</v>
      </c>
      <c r="K29" s="103" t="n">
        <f aca="false">F29*G29*J29</f>
        <v>0</v>
      </c>
      <c r="L29" s="72"/>
    </row>
    <row r="30" customFormat="false" ht="12.8" hidden="false" customHeight="true" outlineLevel="0" collapsed="false">
      <c r="A30" s="79" t="n">
        <v>3</v>
      </c>
      <c r="B30" s="80" t="s">
        <v>132</v>
      </c>
      <c r="C30" s="80"/>
      <c r="D30" s="80"/>
      <c r="E30" s="80"/>
      <c r="F30" s="87" t="n">
        <f aca="false">6.25*4.2</f>
        <v>26.25</v>
      </c>
      <c r="G30" s="87" t="n">
        <v>2.28</v>
      </c>
      <c r="H30" s="102" t="n">
        <f aca="false">VALUES!$F48+(25.6-$E$9)+($D$9-0.5*$F$12-29.4)</f>
        <v>12.85</v>
      </c>
      <c r="I30" s="103" t="n">
        <f aca="false">F30*G30*H30</f>
        <v>769.0725</v>
      </c>
      <c r="J30" s="102" t="n">
        <f aca="false">VALUES!$I48+(25.6-$E$15)+($D$15-0.5*$F$18-29.4)</f>
        <v>7.95</v>
      </c>
      <c r="K30" s="103" t="n">
        <f aca="false">F30*G30*J30</f>
        <v>475.8075</v>
      </c>
      <c r="L30" s="72"/>
    </row>
    <row r="31" customFormat="false" ht="13.05" hidden="false" customHeight="true" outlineLevel="0" collapsed="false">
      <c r="A31" s="79" t="n">
        <v>4</v>
      </c>
      <c r="B31" s="80" t="s">
        <v>133</v>
      </c>
      <c r="C31" s="80"/>
      <c r="D31" s="80"/>
      <c r="E31" s="80"/>
      <c r="F31" s="87"/>
      <c r="G31" s="87" t="n">
        <v>2.28</v>
      </c>
      <c r="H31" s="102" t="n">
        <f aca="false">VALUES!$F49+(25.6-$E$9)+($D$9-0.5*$F$12-29.4)</f>
        <v>10.15</v>
      </c>
      <c r="I31" s="103" t="n">
        <f aca="false">F31*G31*H31</f>
        <v>0</v>
      </c>
      <c r="J31" s="102" t="n">
        <f aca="false">VALUES!$I49+(25.6-$E$15)+($D$15-0.5*$F$18-29.4)</f>
        <v>9.55</v>
      </c>
      <c r="K31" s="103" t="n">
        <f aca="false">F31*G31*J31</f>
        <v>0</v>
      </c>
      <c r="L31" s="72"/>
    </row>
    <row r="32" customFormat="false" ht="12.8" hidden="false" customHeight="true" outlineLevel="0" collapsed="false">
      <c r="A32" s="79" t="n">
        <v>5</v>
      </c>
      <c r="B32" s="80" t="s">
        <v>134</v>
      </c>
      <c r="C32" s="80"/>
      <c r="D32" s="80"/>
      <c r="E32" s="80"/>
      <c r="F32" s="87"/>
      <c r="G32" s="87" t="n">
        <v>2.28</v>
      </c>
      <c r="H32" s="102" t="n">
        <f aca="false">VALUES!$F50+(25.6-$E$9)+($D$9-0.5*$F$12-29.4)</f>
        <v>8.95000000000001</v>
      </c>
      <c r="I32" s="103" t="n">
        <f aca="false">F32*G32*H32</f>
        <v>0</v>
      </c>
      <c r="J32" s="102" t="n">
        <f aca="false">VALUES!$I50+(25.6-$E$15)+($D$15-0.5*$F$18-29.4)</f>
        <v>10.65</v>
      </c>
      <c r="K32" s="103" t="n">
        <f aca="false">F32*G32*J32</f>
        <v>0</v>
      </c>
      <c r="L32" s="72"/>
    </row>
    <row r="33" customFormat="false" ht="13.05" hidden="false" customHeight="true" outlineLevel="0" collapsed="false">
      <c r="A33" s="79" t="n">
        <v>6</v>
      </c>
      <c r="B33" s="80" t="s">
        <v>135</v>
      </c>
      <c r="C33" s="80"/>
      <c r="D33" s="80"/>
      <c r="E33" s="80"/>
      <c r="F33" s="87"/>
      <c r="G33" s="87" t="n">
        <v>2.28</v>
      </c>
      <c r="H33" s="102" t="n">
        <f aca="false">VALUES!$F51+(25.6-$E$9)+($D$9-0.5*$F$12-29.4)</f>
        <v>10.95</v>
      </c>
      <c r="I33" s="103" t="n">
        <f aca="false">F33*G33*H33</f>
        <v>0</v>
      </c>
      <c r="J33" s="102" t="n">
        <f aca="false">VALUES!$I51+(25.6-$E$15)+($D$15-0.5*$F$18-29.4)</f>
        <v>10.35</v>
      </c>
      <c r="K33" s="103" t="n">
        <f aca="false">F33*G33*J33</f>
        <v>0</v>
      </c>
      <c r="L33" s="72"/>
    </row>
    <row r="34" customFormat="false" ht="23.85" hidden="false" customHeight="true" outlineLevel="0" collapsed="false">
      <c r="A34" s="79" t="n">
        <v>7</v>
      </c>
      <c r="B34" s="80" t="s">
        <v>136</v>
      </c>
      <c r="C34" s="80"/>
      <c r="D34" s="80"/>
      <c r="E34" s="80"/>
      <c r="F34" s="87"/>
      <c r="G34" s="87" t="n">
        <v>2.28</v>
      </c>
      <c r="H34" s="102" t="n">
        <f aca="false">VALUES!$F52+(25.6-$E$9)+($D$9-0.5*$F$12-29.4)</f>
        <v>14.05</v>
      </c>
      <c r="I34" s="103" t="n">
        <f aca="false">F34*G34*H34</f>
        <v>0</v>
      </c>
      <c r="J34" s="102" t="n">
        <f aca="false">VALUES!$I52+(25.6-$E$15)+($D$15-0.5*$F$18-29.4)</f>
        <v>9.15</v>
      </c>
      <c r="K34" s="103" t="n">
        <f aca="false">F34*G34*J34</f>
        <v>0</v>
      </c>
      <c r="L34" s="72"/>
      <c r="M34" s="104" t="s">
        <v>137</v>
      </c>
      <c r="N34" s="104" t="s">
        <v>138</v>
      </c>
    </row>
    <row r="35" customFormat="false" ht="13.05" hidden="false" customHeight="true" outlineLevel="0" collapsed="false">
      <c r="A35" s="79" t="n">
        <v>8</v>
      </c>
      <c r="B35" s="80" t="s">
        <v>139</v>
      </c>
      <c r="C35" s="80"/>
      <c r="D35" s="80"/>
      <c r="E35" s="80"/>
      <c r="F35" s="87"/>
      <c r="G35" s="87" t="n">
        <v>2.28</v>
      </c>
      <c r="H35" s="102" t="n">
        <f aca="false">VALUES!$F53+(25.6-$E$9)+($D$9-0.5*$F$12-29.4)</f>
        <v>13.65</v>
      </c>
      <c r="I35" s="103" t="n">
        <f aca="false">F35*G35*H35</f>
        <v>0</v>
      </c>
      <c r="J35" s="102" t="n">
        <f aca="false">VALUES!$I53+(25.6-$E$15)+($D$15-0.5*$F$18-29.4)</f>
        <v>4.85</v>
      </c>
      <c r="K35" s="103" t="n">
        <f aca="false">F35*G35*J35</f>
        <v>0</v>
      </c>
      <c r="L35" s="72"/>
      <c r="M35" s="105"/>
      <c r="N35" s="105"/>
      <c r="O35" s="104" t="n">
        <f aca="false">VALUES!$C$21</f>
        <v>6</v>
      </c>
      <c r="P35" s="104" t="n">
        <f aca="false">VALUES!$D$21</f>
        <v>7</v>
      </c>
      <c r="Q35" s="104" t="n">
        <f aca="false">VALUES!$E$21</f>
        <v>8</v>
      </c>
      <c r="R35" s="104" t="n">
        <f aca="false">VALUES!$F$21</f>
        <v>9</v>
      </c>
      <c r="S35" s="104" t="n">
        <f aca="false">VALUES!$G$21</f>
        <v>10</v>
      </c>
      <c r="T35" s="104" t="n">
        <f aca="false">VALUES!$H$21</f>
        <v>11</v>
      </c>
      <c r="U35" s="104" t="n">
        <f aca="false">VALUES!$I$21</f>
        <v>12</v>
      </c>
      <c r="V35" s="104" t="n">
        <f aca="false">VALUES!$J$21</f>
        <v>13</v>
      </c>
      <c r="W35" s="104" t="n">
        <f aca="false">VALUES!$K$21</f>
        <v>14</v>
      </c>
      <c r="X35" s="104" t="n">
        <f aca="false">VALUES!$L$21</f>
        <v>15</v>
      </c>
      <c r="Y35" s="104" t="n">
        <f aca="false">VALUES!$M$21</f>
        <v>16</v>
      </c>
      <c r="Z35" s="104" t="n">
        <f aca="false">VALUES!$N$21</f>
        <v>17</v>
      </c>
      <c r="AA35" s="104" t="n">
        <f aca="false">VALUES!$O$21</f>
        <v>18</v>
      </c>
    </row>
    <row r="36" customFormat="false" ht="13.05" hidden="false" customHeight="true" outlineLevel="0" collapsed="false">
      <c r="A36" s="79" t="n">
        <v>9</v>
      </c>
      <c r="B36" s="80" t="s">
        <v>140</v>
      </c>
      <c r="C36" s="80"/>
      <c r="D36" s="80"/>
      <c r="E36" s="80"/>
      <c r="F36" s="87"/>
      <c r="G36" s="87" t="n">
        <v>5.23</v>
      </c>
      <c r="H36" s="102" t="n">
        <f aca="false">M36+(25.6-$E$9)+($D$9-0.5*$F$12-29.4)</f>
        <v>3.15000000000001</v>
      </c>
      <c r="I36" s="103" t="n">
        <f aca="false">F36*G36*H36</f>
        <v>0</v>
      </c>
      <c r="J36" s="102" t="n">
        <f aca="false">N36+(25.6-$E$15)+($D$15-0.5*$F$18-29.4)</f>
        <v>-1.75</v>
      </c>
      <c r="K36" s="103" t="n">
        <f aca="false">F36*G36*J36</f>
        <v>-0</v>
      </c>
      <c r="L36" s="72"/>
      <c r="M36" s="106" t="n">
        <f aca="false">INDEX(O36:AA36,1,MATCH(MAX($O$64:$AA$64),$O$64:$AA$64,0))</f>
        <v>0</v>
      </c>
      <c r="N36" s="107" t="n">
        <f aca="false">INDEX(O36:AA36,1,MATCH(MAX($O$65:$AA$65),$O$65:$AA$65,0))</f>
        <v>0</v>
      </c>
      <c r="O36" s="108" t="n">
        <f aca="false">VALUES!C$61</f>
        <v>-1.1</v>
      </c>
      <c r="P36" s="108" t="n">
        <f aca="false">VALUES!D$61</f>
        <v>-1.1</v>
      </c>
      <c r="Q36" s="108" t="n">
        <f aca="false">VALUES!E$61</f>
        <v>0</v>
      </c>
      <c r="R36" s="108" t="n">
        <f aca="false">VALUES!F$61</f>
        <v>1.1</v>
      </c>
      <c r="S36" s="108" t="n">
        <f aca="false">VALUES!G$61</f>
        <v>2.2</v>
      </c>
      <c r="T36" s="108" t="n">
        <f aca="false">VALUES!H$61</f>
        <v>3.9</v>
      </c>
      <c r="U36" s="108" t="n">
        <f aca="false">VALUES!I$61</f>
        <v>5</v>
      </c>
      <c r="V36" s="108" t="n">
        <f aca="false">VALUES!J$61</f>
        <v>6.7</v>
      </c>
      <c r="W36" s="108" t="n">
        <f aca="false">VALUES!K$61</f>
        <v>7.2</v>
      </c>
      <c r="X36" s="108" t="n">
        <f aca="false">VALUES!L$61</f>
        <v>7.8</v>
      </c>
      <c r="Y36" s="108" t="n">
        <f aca="false">VALUES!M$61</f>
        <v>7.8</v>
      </c>
      <c r="Z36" s="108" t="n">
        <f aca="false">VALUES!N$61</f>
        <v>7.2</v>
      </c>
      <c r="AA36" s="108" t="n">
        <f aca="false">VALUES!O$61</f>
        <v>6.7</v>
      </c>
    </row>
    <row r="37" customFormat="false" ht="13.05" hidden="false" customHeight="true" outlineLevel="0" collapsed="false">
      <c r="A37" s="79" t="n">
        <v>10</v>
      </c>
      <c r="B37" s="80" t="s">
        <v>141</v>
      </c>
      <c r="C37" s="80"/>
      <c r="D37" s="80"/>
      <c r="E37" s="80"/>
      <c r="F37" s="87"/>
      <c r="G37" s="87" t="n">
        <v>5.23</v>
      </c>
      <c r="H37" s="102" t="n">
        <f aca="false">M37+(25.6-$E$9)+($D$9-0.5*$F$12-29.4)</f>
        <v>3.15000000000001</v>
      </c>
      <c r="I37" s="103" t="n">
        <f aca="false">F37*G37*H37</f>
        <v>0</v>
      </c>
      <c r="J37" s="102" t="n">
        <f aca="false">N37+(25.6-$E$15)+($D$15-0.5*$F$18-29.4)</f>
        <v>-1.75</v>
      </c>
      <c r="K37" s="103" t="n">
        <f aca="false">F37*G37*J37</f>
        <v>-0</v>
      </c>
      <c r="L37" s="72"/>
      <c r="M37" s="109" t="n">
        <f aca="false">INDEX(O37:AA37,1,MATCH(MAX($O$64:$AA$64),$O$64:$AA$64,0))</f>
        <v>0</v>
      </c>
      <c r="N37" s="110" t="n">
        <f aca="false">INDEX(O37:AA37,1,MATCH(MAX($O$65:$AA$65),$O$65:$AA$65,0))</f>
        <v>0</v>
      </c>
      <c r="O37" s="108" t="n">
        <f aca="false">VALUES!C$61</f>
        <v>-1.1</v>
      </c>
      <c r="P37" s="108" t="n">
        <f aca="false">VALUES!D$61</f>
        <v>-1.1</v>
      </c>
      <c r="Q37" s="108" t="n">
        <f aca="false">VALUES!E$61</f>
        <v>0</v>
      </c>
      <c r="R37" s="108" t="n">
        <f aca="false">VALUES!F$61</f>
        <v>1.1</v>
      </c>
      <c r="S37" s="108" t="n">
        <f aca="false">VALUES!G$61</f>
        <v>2.2</v>
      </c>
      <c r="T37" s="108" t="n">
        <f aca="false">VALUES!H$61</f>
        <v>3.9</v>
      </c>
      <c r="U37" s="108" t="n">
        <f aca="false">VALUES!I$61</f>
        <v>5</v>
      </c>
      <c r="V37" s="108" t="n">
        <f aca="false">VALUES!J$61</f>
        <v>6.7</v>
      </c>
      <c r="W37" s="108" t="n">
        <f aca="false">VALUES!K$61</f>
        <v>7.2</v>
      </c>
      <c r="X37" s="108" t="n">
        <f aca="false">VALUES!L$61</f>
        <v>7.8</v>
      </c>
      <c r="Y37" s="108" t="n">
        <f aca="false">VALUES!M$61</f>
        <v>7.8</v>
      </c>
      <c r="Z37" s="108" t="n">
        <f aca="false">VALUES!N$61</f>
        <v>7.2</v>
      </c>
      <c r="AA37" s="108" t="n">
        <f aca="false">VALUES!O$61</f>
        <v>6.7</v>
      </c>
    </row>
    <row r="38" customFormat="false" ht="12.8" hidden="false" customHeight="true" outlineLevel="0" collapsed="false">
      <c r="A38" s="79" t="n">
        <v>11</v>
      </c>
      <c r="B38" s="80" t="s">
        <v>142</v>
      </c>
      <c r="C38" s="80"/>
      <c r="D38" s="80"/>
      <c r="E38" s="80"/>
      <c r="F38" s="87" t="n">
        <f aca="false">F30*0.3</f>
        <v>7.875</v>
      </c>
      <c r="G38" s="87" t="n">
        <v>5.23</v>
      </c>
      <c r="H38" s="102" t="n">
        <f aca="false">M38+(25.6-$E$9)+($D$9-0.5*$F$12-29.4)</f>
        <v>3.15000000000001</v>
      </c>
      <c r="I38" s="103" t="n">
        <f aca="false">F38*G38*H38</f>
        <v>129.7366875</v>
      </c>
      <c r="J38" s="102" t="n">
        <f aca="false">N38+(25.6-$E$15)+($D$15-0.5*$F$18-29.4)</f>
        <v>-1.75</v>
      </c>
      <c r="K38" s="103" t="n">
        <f aca="false">F38*G38*J38</f>
        <v>-72.0759375</v>
      </c>
      <c r="L38" s="72"/>
      <c r="M38" s="109" t="n">
        <f aca="false">INDEX(O38:AA38,1,MATCH(MAX($O$64:$AA$64),$O$64:$AA$64,0))</f>
        <v>0</v>
      </c>
      <c r="N38" s="110" t="n">
        <f aca="false">INDEX(O38:AA38,1,MATCH(MAX($O$65:$AA$65),$O$65:$AA$65,0))</f>
        <v>0</v>
      </c>
      <c r="O38" s="108" t="n">
        <f aca="false">VALUES!C$61</f>
        <v>-1.1</v>
      </c>
      <c r="P38" s="108" t="n">
        <f aca="false">VALUES!D$61</f>
        <v>-1.1</v>
      </c>
      <c r="Q38" s="108" t="n">
        <f aca="false">VALUES!E$61</f>
        <v>0</v>
      </c>
      <c r="R38" s="108" t="n">
        <f aca="false">VALUES!F$61</f>
        <v>1.1</v>
      </c>
      <c r="S38" s="108" t="n">
        <f aca="false">VALUES!G$61</f>
        <v>2.2</v>
      </c>
      <c r="T38" s="108" t="n">
        <f aca="false">VALUES!H$61</f>
        <v>3.9</v>
      </c>
      <c r="U38" s="108" t="n">
        <f aca="false">VALUES!I$61</f>
        <v>5</v>
      </c>
      <c r="V38" s="108" t="n">
        <f aca="false">VALUES!J$61</f>
        <v>6.7</v>
      </c>
      <c r="W38" s="108" t="n">
        <f aca="false">VALUES!K$61</f>
        <v>7.2</v>
      </c>
      <c r="X38" s="108" t="n">
        <f aca="false">VALUES!L$61</f>
        <v>7.8</v>
      </c>
      <c r="Y38" s="108" t="n">
        <f aca="false">VALUES!M$61</f>
        <v>7.8</v>
      </c>
      <c r="Z38" s="108" t="n">
        <f aca="false">VALUES!N$61</f>
        <v>7.2</v>
      </c>
      <c r="AA38" s="108" t="n">
        <f aca="false">VALUES!O$61</f>
        <v>6.7</v>
      </c>
    </row>
    <row r="39" customFormat="false" ht="13.05" hidden="false" customHeight="true" outlineLevel="0" collapsed="false">
      <c r="A39" s="79" t="n">
        <v>12</v>
      </c>
      <c r="B39" s="80" t="s">
        <v>143</v>
      </c>
      <c r="C39" s="80"/>
      <c r="D39" s="80"/>
      <c r="E39" s="80"/>
      <c r="F39" s="87"/>
      <c r="G39" s="87" t="n">
        <v>5.23</v>
      </c>
      <c r="H39" s="102" t="n">
        <f aca="false">M39+(25.6-$E$9)+($D$9-0.5*$F$12-29.4)</f>
        <v>3.15000000000001</v>
      </c>
      <c r="I39" s="103" t="n">
        <f aca="false">F39*G39*H39</f>
        <v>0</v>
      </c>
      <c r="J39" s="102" t="n">
        <f aca="false">N39+(25.6-$E$15)+($D$15-0.5*$F$18-29.4)</f>
        <v>-1.75</v>
      </c>
      <c r="K39" s="103" t="n">
        <f aca="false">F39*G39*J39</f>
        <v>-0</v>
      </c>
      <c r="L39" s="72"/>
      <c r="M39" s="109" t="n">
        <f aca="false">INDEX(O39:AA39,1,MATCH(MAX($O$64:$AA$64),$O$64:$AA$64,0))</f>
        <v>0</v>
      </c>
      <c r="N39" s="110" t="n">
        <f aca="false">INDEX(O39:AA39,1,MATCH(MAX($O$65:$AA$65),$O$65:$AA$65,0))</f>
        <v>0</v>
      </c>
      <c r="O39" s="108" t="n">
        <f aca="false">VALUES!C$61</f>
        <v>-1.1</v>
      </c>
      <c r="P39" s="108" t="n">
        <f aca="false">VALUES!D$61</f>
        <v>-1.1</v>
      </c>
      <c r="Q39" s="108" t="n">
        <f aca="false">VALUES!E$61</f>
        <v>0</v>
      </c>
      <c r="R39" s="108" t="n">
        <f aca="false">VALUES!F$61</f>
        <v>1.1</v>
      </c>
      <c r="S39" s="108" t="n">
        <f aca="false">VALUES!G$61</f>
        <v>2.2</v>
      </c>
      <c r="T39" s="108" t="n">
        <f aca="false">VALUES!H$61</f>
        <v>3.9</v>
      </c>
      <c r="U39" s="108" t="n">
        <f aca="false">VALUES!I$61</f>
        <v>5</v>
      </c>
      <c r="V39" s="108" t="n">
        <f aca="false">VALUES!J$61</f>
        <v>6.7</v>
      </c>
      <c r="W39" s="108" t="n">
        <f aca="false">VALUES!K$61</f>
        <v>7.2</v>
      </c>
      <c r="X39" s="108" t="n">
        <f aca="false">VALUES!L$61</f>
        <v>7.8</v>
      </c>
      <c r="Y39" s="108" t="n">
        <f aca="false">VALUES!M$61</f>
        <v>7.8</v>
      </c>
      <c r="Z39" s="108" t="n">
        <f aca="false">VALUES!N$61</f>
        <v>7.2</v>
      </c>
      <c r="AA39" s="108" t="n">
        <f aca="false">VALUES!O$61</f>
        <v>6.7</v>
      </c>
    </row>
    <row r="40" customFormat="false" ht="12.8" hidden="false" customHeight="true" outlineLevel="0" collapsed="false">
      <c r="A40" s="79" t="n">
        <v>13</v>
      </c>
      <c r="B40" s="80" t="s">
        <v>144</v>
      </c>
      <c r="C40" s="80"/>
      <c r="D40" s="80"/>
      <c r="E40" s="80"/>
      <c r="F40" s="87"/>
      <c r="G40" s="87" t="n">
        <v>5.23</v>
      </c>
      <c r="H40" s="102" t="n">
        <f aca="false">M40+(25.6-$E$9)+($D$9-0.5*$F$12-29.4)</f>
        <v>3.15000000000001</v>
      </c>
      <c r="I40" s="103" t="n">
        <f aca="false">F40*G40*H40</f>
        <v>0</v>
      </c>
      <c r="J40" s="102" t="n">
        <f aca="false">N40+(25.6-$E$15)+($D$15-0.5*$F$18-29.4)</f>
        <v>-1.75</v>
      </c>
      <c r="K40" s="103" t="n">
        <f aca="false">F40*G40*J40</f>
        <v>-0</v>
      </c>
      <c r="L40" s="72"/>
      <c r="M40" s="109" t="n">
        <f aca="false">INDEX(O40:AA40,1,MATCH(MAX($O$64:$AA$64),$O$64:$AA$64,0))</f>
        <v>0</v>
      </c>
      <c r="N40" s="110" t="n">
        <f aca="false">INDEX(O40:AA40,1,MATCH(MAX($O$65:$AA$65),$O$65:$AA$65,0))</f>
        <v>0</v>
      </c>
      <c r="O40" s="108" t="n">
        <f aca="false">VALUES!C$61</f>
        <v>-1.1</v>
      </c>
      <c r="P40" s="108" t="n">
        <f aca="false">VALUES!D$61</f>
        <v>-1.1</v>
      </c>
      <c r="Q40" s="108" t="n">
        <f aca="false">VALUES!E$61</f>
        <v>0</v>
      </c>
      <c r="R40" s="108" t="n">
        <f aca="false">VALUES!F$61</f>
        <v>1.1</v>
      </c>
      <c r="S40" s="108" t="n">
        <f aca="false">VALUES!G$61</f>
        <v>2.2</v>
      </c>
      <c r="T40" s="108" t="n">
        <f aca="false">VALUES!H$61</f>
        <v>3.9</v>
      </c>
      <c r="U40" s="108" t="n">
        <f aca="false">VALUES!I$61</f>
        <v>5</v>
      </c>
      <c r="V40" s="108" t="n">
        <f aca="false">VALUES!J$61</f>
        <v>6.7</v>
      </c>
      <c r="W40" s="108" t="n">
        <f aca="false">VALUES!K$61</f>
        <v>7.2</v>
      </c>
      <c r="X40" s="108" t="n">
        <f aca="false">VALUES!L$61</f>
        <v>7.8</v>
      </c>
      <c r="Y40" s="108" t="n">
        <f aca="false">VALUES!M$61</f>
        <v>7.8</v>
      </c>
      <c r="Z40" s="108" t="n">
        <f aca="false">VALUES!N$61</f>
        <v>7.2</v>
      </c>
      <c r="AA40" s="108" t="n">
        <f aca="false">VALUES!O$61</f>
        <v>6.7</v>
      </c>
    </row>
    <row r="41" customFormat="false" ht="13.05" hidden="false" customHeight="true" outlineLevel="0" collapsed="false">
      <c r="A41" s="79" t="n">
        <v>14</v>
      </c>
      <c r="B41" s="80" t="s">
        <v>145</v>
      </c>
      <c r="C41" s="80"/>
      <c r="D41" s="80"/>
      <c r="E41" s="80"/>
      <c r="F41" s="87"/>
      <c r="G41" s="87" t="n">
        <v>5.23</v>
      </c>
      <c r="H41" s="102" t="n">
        <f aca="false">M41+(25.6-$E$9)+($D$9-0.5*$F$12-29.4)</f>
        <v>3.15000000000001</v>
      </c>
      <c r="I41" s="103" t="n">
        <f aca="false">F41*G41*H41</f>
        <v>0</v>
      </c>
      <c r="J41" s="102" t="n">
        <f aca="false">N41+(25.6-$E$15)+($D$15-0.5*$F$18-29.4)</f>
        <v>-1.75</v>
      </c>
      <c r="K41" s="103" t="n">
        <f aca="false">F41*G41*J41</f>
        <v>-0</v>
      </c>
      <c r="L41" s="72"/>
      <c r="M41" s="109" t="n">
        <f aca="false">INDEX(O41:AA41,1,MATCH(MAX($O$64:$AA$64),$O$64:$AA$64,0))</f>
        <v>0</v>
      </c>
      <c r="N41" s="110" t="n">
        <f aca="false">INDEX(O41:AA41,1,MATCH(MAX($O$65:$AA$65),$O$65:$AA$65,0))</f>
        <v>0</v>
      </c>
      <c r="O41" s="108" t="n">
        <f aca="false">VALUES!C$61</f>
        <v>-1.1</v>
      </c>
      <c r="P41" s="108" t="n">
        <f aca="false">VALUES!D$61</f>
        <v>-1.1</v>
      </c>
      <c r="Q41" s="108" t="n">
        <f aca="false">VALUES!E$61</f>
        <v>0</v>
      </c>
      <c r="R41" s="108" t="n">
        <f aca="false">VALUES!F$61</f>
        <v>1.1</v>
      </c>
      <c r="S41" s="108" t="n">
        <f aca="false">VALUES!G$61</f>
        <v>2.2</v>
      </c>
      <c r="T41" s="108" t="n">
        <f aca="false">VALUES!H$61</f>
        <v>3.9</v>
      </c>
      <c r="U41" s="108" t="n">
        <f aca="false">VALUES!I$61</f>
        <v>5</v>
      </c>
      <c r="V41" s="108" t="n">
        <f aca="false">VALUES!J$61</f>
        <v>6.7</v>
      </c>
      <c r="W41" s="108" t="n">
        <f aca="false">VALUES!K$61</f>
        <v>7.2</v>
      </c>
      <c r="X41" s="108" t="n">
        <f aca="false">VALUES!L$61</f>
        <v>7.8</v>
      </c>
      <c r="Y41" s="108" t="n">
        <f aca="false">VALUES!M$61</f>
        <v>7.8</v>
      </c>
      <c r="Z41" s="108" t="n">
        <f aca="false">VALUES!N$61</f>
        <v>7.2</v>
      </c>
      <c r="AA41" s="108" t="n">
        <f aca="false">VALUES!O$61</f>
        <v>6.7</v>
      </c>
    </row>
    <row r="42" customFormat="false" ht="13.05" hidden="false" customHeight="true" outlineLevel="0" collapsed="false">
      <c r="A42" s="79" t="n">
        <v>15</v>
      </c>
      <c r="B42" s="80" t="s">
        <v>146</v>
      </c>
      <c r="C42" s="80"/>
      <c r="D42" s="80"/>
      <c r="E42" s="80"/>
      <c r="F42" s="87"/>
      <c r="G42" s="87" t="n">
        <v>5.23</v>
      </c>
      <c r="H42" s="102" t="n">
        <f aca="false">M42+(25.6-$E$9)+($D$9-0.5*$F$12-29.4)</f>
        <v>3.15000000000001</v>
      </c>
      <c r="I42" s="103" t="n">
        <f aca="false">F42*G42*H42</f>
        <v>0</v>
      </c>
      <c r="J42" s="102" t="n">
        <f aca="false">N42+(25.6-$E$15)+($D$15-0.5*$F$18-29.4)</f>
        <v>-1.75</v>
      </c>
      <c r="K42" s="103" t="n">
        <f aca="false">F42*G42*J42</f>
        <v>-0</v>
      </c>
      <c r="L42" s="72"/>
      <c r="M42" s="109" t="n">
        <f aca="false">INDEX(O42:AA42,1,MATCH(MAX($O$64:$AA$64),$O$64:$AA$64,0))</f>
        <v>0</v>
      </c>
      <c r="N42" s="110" t="n">
        <f aca="false">INDEX(O42:AA42,1,MATCH(MAX($O$65:$AA$65),$O$65:$AA$65,0))</f>
        <v>0</v>
      </c>
      <c r="O42" s="108" t="n">
        <f aca="false">VALUES!C$61</f>
        <v>-1.1</v>
      </c>
      <c r="P42" s="108" t="n">
        <f aca="false">VALUES!D$61</f>
        <v>-1.1</v>
      </c>
      <c r="Q42" s="108" t="n">
        <f aca="false">VALUES!E$61</f>
        <v>0</v>
      </c>
      <c r="R42" s="108" t="n">
        <f aca="false">VALUES!F$61</f>
        <v>1.1</v>
      </c>
      <c r="S42" s="108" t="n">
        <f aca="false">VALUES!G$61</f>
        <v>2.2</v>
      </c>
      <c r="T42" s="108" t="n">
        <f aca="false">VALUES!H$61</f>
        <v>3.9</v>
      </c>
      <c r="U42" s="108" t="n">
        <f aca="false">VALUES!I$61</f>
        <v>5</v>
      </c>
      <c r="V42" s="108" t="n">
        <f aca="false">VALUES!J$61</f>
        <v>6.7</v>
      </c>
      <c r="W42" s="108" t="n">
        <f aca="false">VALUES!K$61</f>
        <v>7.2</v>
      </c>
      <c r="X42" s="108" t="n">
        <f aca="false">VALUES!L$61</f>
        <v>7.8</v>
      </c>
      <c r="Y42" s="108" t="n">
        <f aca="false">VALUES!M$61</f>
        <v>7.8</v>
      </c>
      <c r="Z42" s="108" t="n">
        <f aca="false">VALUES!N$61</f>
        <v>7.2</v>
      </c>
      <c r="AA42" s="108" t="n">
        <f aca="false">VALUES!O$61</f>
        <v>6.7</v>
      </c>
    </row>
    <row r="43" customFormat="false" ht="13.05" hidden="false" customHeight="true" outlineLevel="0" collapsed="false">
      <c r="A43" s="79" t="n">
        <v>16</v>
      </c>
      <c r="B43" s="80" t="s">
        <v>147</v>
      </c>
      <c r="C43" s="80"/>
      <c r="D43" s="80"/>
      <c r="E43" s="80"/>
      <c r="F43" s="87"/>
      <c r="G43" s="87" t="n">
        <v>5.23</v>
      </c>
      <c r="H43" s="102" t="n">
        <f aca="false">M43+(25.6-$E$9)+($D$9-0.5*$F$12-29.4)</f>
        <v>3.15000000000001</v>
      </c>
      <c r="I43" s="103" t="n">
        <f aca="false">F43*G43*H43</f>
        <v>0</v>
      </c>
      <c r="J43" s="102" t="n">
        <f aca="false">N43+(25.6-$E$15)+($D$15-0.5*$F$18-29.4)</f>
        <v>-1.75</v>
      </c>
      <c r="K43" s="103" t="n">
        <f aca="false">F43*G43*J43</f>
        <v>-0</v>
      </c>
      <c r="L43" s="72"/>
      <c r="M43" s="109" t="n">
        <f aca="false">INDEX(O43:AA43,1,MATCH(MAX($O$64:$AA$64),$O$64:$AA$64,0))</f>
        <v>0</v>
      </c>
      <c r="N43" s="110" t="n">
        <f aca="false">INDEX(O43:AA43,1,MATCH(MAX($O$65:$AA$65),$O$65:$AA$65,0))</f>
        <v>0</v>
      </c>
      <c r="O43" s="108" t="n">
        <f aca="false">VALUES!C$61</f>
        <v>-1.1</v>
      </c>
      <c r="P43" s="108" t="n">
        <f aca="false">VALUES!D$61</f>
        <v>-1.1</v>
      </c>
      <c r="Q43" s="108" t="n">
        <f aca="false">VALUES!E$61</f>
        <v>0</v>
      </c>
      <c r="R43" s="108" t="n">
        <f aca="false">VALUES!F$61</f>
        <v>1.1</v>
      </c>
      <c r="S43" s="108" t="n">
        <f aca="false">VALUES!G$61</f>
        <v>2.2</v>
      </c>
      <c r="T43" s="108" t="n">
        <f aca="false">VALUES!H$61</f>
        <v>3.9</v>
      </c>
      <c r="U43" s="108" t="n">
        <f aca="false">VALUES!I$61</f>
        <v>5</v>
      </c>
      <c r="V43" s="108" t="n">
        <f aca="false">VALUES!J$61</f>
        <v>6.7</v>
      </c>
      <c r="W43" s="108" t="n">
        <f aca="false">VALUES!K$61</f>
        <v>7.2</v>
      </c>
      <c r="X43" s="108" t="n">
        <f aca="false">VALUES!L$61</f>
        <v>7.8</v>
      </c>
      <c r="Y43" s="108" t="n">
        <f aca="false">VALUES!M$61</f>
        <v>7.8</v>
      </c>
      <c r="Z43" s="108" t="n">
        <f aca="false">VALUES!N$61</f>
        <v>7.2</v>
      </c>
      <c r="AA43" s="108" t="n">
        <f aca="false">VALUES!O$61</f>
        <v>6.7</v>
      </c>
    </row>
    <row r="44" customFormat="false" ht="12.8" hidden="false" customHeight="true" outlineLevel="0" collapsed="false">
      <c r="A44" s="79" t="n">
        <v>17</v>
      </c>
      <c r="B44" s="80" t="s">
        <v>148</v>
      </c>
      <c r="C44" s="80"/>
      <c r="D44" s="80"/>
      <c r="E44" s="80"/>
      <c r="F44" s="87" t="n">
        <f aca="false">(6.25*2+5.1)*4.2</f>
        <v>73.92</v>
      </c>
      <c r="G44" s="87" t="n">
        <v>2.28</v>
      </c>
      <c r="H44" s="102" t="n">
        <f aca="false">$D$9-$E$9-3</f>
        <v>9.2</v>
      </c>
      <c r="I44" s="103" t="n">
        <f aca="false">F44*G44*H44</f>
        <v>1550.54592</v>
      </c>
      <c r="J44" s="102" t="n">
        <f aca="false">$D$15-$E$15-3</f>
        <v>4.3</v>
      </c>
      <c r="K44" s="103" t="n">
        <f aca="false">F44*G44*J44</f>
        <v>724.71168</v>
      </c>
      <c r="L44" s="72"/>
      <c r="M44" s="111"/>
      <c r="N44" s="111"/>
    </row>
    <row r="45" customFormat="false" ht="13.05" hidden="false" customHeight="true" outlineLevel="0" collapsed="false">
      <c r="A45" s="79" t="n">
        <v>18</v>
      </c>
      <c r="B45" s="80" t="s">
        <v>149</v>
      </c>
      <c r="C45" s="80"/>
      <c r="D45" s="80"/>
      <c r="E45" s="80"/>
      <c r="F45" s="87"/>
      <c r="G45" s="87" t="n">
        <v>7.1</v>
      </c>
      <c r="H45" s="102" t="n">
        <f aca="false">$D$9-$E$9-3</f>
        <v>9.2</v>
      </c>
      <c r="I45" s="103" t="n">
        <f aca="false">F45*G45*H45</f>
        <v>0</v>
      </c>
      <c r="J45" s="102" t="n">
        <f aca="false">$D$15-$E$15-3</f>
        <v>4.3</v>
      </c>
      <c r="K45" s="103" t="n">
        <f aca="false">F45*G45*J45</f>
        <v>0</v>
      </c>
      <c r="L45" s="72"/>
      <c r="M45" s="111"/>
      <c r="N45" s="111"/>
    </row>
    <row r="46" customFormat="false" ht="12.8" hidden="false" customHeight="true" outlineLevel="0" collapsed="false">
      <c r="A46" s="79" t="n">
        <v>19</v>
      </c>
      <c r="B46" s="80" t="s">
        <v>150</v>
      </c>
      <c r="C46" s="80"/>
      <c r="D46" s="80"/>
      <c r="E46" s="80"/>
      <c r="F46" s="87"/>
      <c r="G46" s="87" t="n">
        <v>3.19</v>
      </c>
      <c r="H46" s="102" t="n">
        <f aca="false">$D$9-$E$9-3</f>
        <v>9.2</v>
      </c>
      <c r="I46" s="103" t="n">
        <f aca="false">F46*G46*H46</f>
        <v>0</v>
      </c>
      <c r="J46" s="102" t="n">
        <f aca="false">$D$15-$E$15-3</f>
        <v>4.3</v>
      </c>
      <c r="K46" s="103" t="n">
        <f aca="false">F46*G46*J46</f>
        <v>0</v>
      </c>
      <c r="L46" s="72"/>
      <c r="M46" s="111"/>
      <c r="N46" s="111"/>
    </row>
    <row r="47" customFormat="false" ht="13.05" hidden="false" customHeight="true" outlineLevel="0" collapsed="false">
      <c r="A47" s="79" t="n">
        <v>20</v>
      </c>
      <c r="B47" s="80" t="s">
        <v>151</v>
      </c>
      <c r="C47" s="80"/>
      <c r="D47" s="80"/>
      <c r="E47" s="80"/>
      <c r="F47" s="87"/>
      <c r="G47" s="87" t="n">
        <v>0.7</v>
      </c>
      <c r="H47" s="102" t="n">
        <f aca="false">VALUES!$F$39+(25.6-$E$9)+($D$9-0.5*$F$12-29.4)</f>
        <v>28.65</v>
      </c>
      <c r="I47" s="103" t="n">
        <f aca="false">F47*G47*H47</f>
        <v>0</v>
      </c>
      <c r="J47" s="102" t="n">
        <f aca="false">VALUES!$I$39+(25.6-$E$15)+($D$15-0.5*$F$18-29.4)</f>
        <v>22.75</v>
      </c>
      <c r="K47" s="103" t="n">
        <f aca="false">F47*G47*J47</f>
        <v>0</v>
      </c>
      <c r="M47" s="111"/>
      <c r="N47" s="111"/>
    </row>
    <row r="48" customFormat="false" ht="24.25" hidden="false" customHeight="true" outlineLevel="0" collapsed="false">
      <c r="A48" s="79" t="n">
        <v>21</v>
      </c>
      <c r="B48" s="80" t="s">
        <v>152</v>
      </c>
      <c r="C48" s="80"/>
      <c r="D48" s="80"/>
      <c r="E48" s="80"/>
      <c r="F48" s="87" t="n">
        <f aca="false">B85</f>
        <v>25.9</v>
      </c>
      <c r="G48" s="87" t="n">
        <v>3.19</v>
      </c>
      <c r="H48" s="102" t="n">
        <f aca="false">$D$9-$E$9-3</f>
        <v>9.2</v>
      </c>
      <c r="I48" s="103" t="n">
        <f aca="false">F48*G48*H48</f>
        <v>760.1132</v>
      </c>
      <c r="J48" s="102" t="n">
        <f aca="false">$D$15-$E$15-3</f>
        <v>4.3</v>
      </c>
      <c r="K48" s="103" t="n">
        <f aca="false">F48*G48*J48</f>
        <v>355.2703</v>
      </c>
      <c r="M48" s="111"/>
      <c r="N48" s="111"/>
    </row>
    <row r="49" customFormat="false" ht="13.05" hidden="false" customHeight="true" outlineLevel="0" collapsed="false">
      <c r="A49" s="79" t="n">
        <v>22</v>
      </c>
      <c r="B49" s="80" t="s">
        <v>153</v>
      </c>
      <c r="C49" s="80"/>
      <c r="D49" s="80"/>
      <c r="E49" s="80"/>
      <c r="F49" s="87"/>
      <c r="G49" s="87" t="n">
        <v>5.23</v>
      </c>
      <c r="H49" s="102" t="n">
        <f aca="false">M49+(25.6-$E$9)+($D$9-0.5*$F$12-29.4)</f>
        <v>3.15000000000001</v>
      </c>
      <c r="I49" s="103" t="n">
        <f aca="false">F49*G49*H49</f>
        <v>0</v>
      </c>
      <c r="J49" s="102" t="n">
        <f aca="false">N49+(25.6-$E$15)+($D$15-0.5*$F$18-29.4)</f>
        <v>-1.75</v>
      </c>
      <c r="K49" s="103" t="n">
        <f aca="false">F49*G49*J49</f>
        <v>-0</v>
      </c>
      <c r="M49" s="109" t="n">
        <f aca="false">INDEX(O49:AA49,1,MATCH(MAX($O$64:$AA$64),$O$64:$AA$64,0))</f>
        <v>0</v>
      </c>
      <c r="N49" s="110" t="n">
        <f aca="false">INDEX(O49:AA49,1,MATCH(MAX($O$65:$AA$65),$O$65:$AA$65,0))</f>
        <v>0</v>
      </c>
      <c r="O49" s="108" t="n">
        <f aca="false">VALUES!C$61</f>
        <v>-1.1</v>
      </c>
      <c r="P49" s="108" t="n">
        <f aca="false">VALUES!D$61</f>
        <v>-1.1</v>
      </c>
      <c r="Q49" s="108" t="n">
        <f aca="false">VALUES!E$61</f>
        <v>0</v>
      </c>
      <c r="R49" s="108" t="n">
        <f aca="false">VALUES!F$61</f>
        <v>1.1</v>
      </c>
      <c r="S49" s="108" t="n">
        <f aca="false">VALUES!G$61</f>
        <v>2.2</v>
      </c>
      <c r="T49" s="108" t="n">
        <f aca="false">VALUES!H$61</f>
        <v>3.9</v>
      </c>
      <c r="U49" s="108" t="n">
        <f aca="false">VALUES!I$61</f>
        <v>5</v>
      </c>
      <c r="V49" s="108" t="n">
        <f aca="false">VALUES!J$61</f>
        <v>6.7</v>
      </c>
      <c r="W49" s="108" t="n">
        <f aca="false">VALUES!K$61</f>
        <v>7.2</v>
      </c>
      <c r="X49" s="108" t="n">
        <f aca="false">VALUES!L$61</f>
        <v>7.8</v>
      </c>
      <c r="Y49" s="108" t="n">
        <f aca="false">VALUES!M$61</f>
        <v>7.8</v>
      </c>
      <c r="Z49" s="108" t="n">
        <f aca="false">VALUES!N$61</f>
        <v>7.2</v>
      </c>
      <c r="AA49" s="108" t="n">
        <f aca="false">VALUES!O$61</f>
        <v>6.7</v>
      </c>
    </row>
    <row r="50" customFormat="false" ht="13.05" hidden="false" customHeight="true" outlineLevel="0" collapsed="false">
      <c r="A50" s="79" t="n">
        <v>23</v>
      </c>
      <c r="B50" s="82" t="s">
        <v>154</v>
      </c>
      <c r="C50" s="82"/>
      <c r="D50" s="82"/>
      <c r="E50" s="82"/>
      <c r="F50" s="87"/>
      <c r="G50" s="87"/>
      <c r="H50" s="87"/>
      <c r="I50" s="103" t="n">
        <f aca="false">F50*G50*H50</f>
        <v>0</v>
      </c>
      <c r="J50" s="87"/>
      <c r="K50" s="103" t="n">
        <f aca="false">F50*G50*J50</f>
        <v>0</v>
      </c>
      <c r="L50" s="72"/>
      <c r="M50" s="111"/>
      <c r="N50" s="111"/>
    </row>
    <row r="51" s="117" customFormat="true" ht="13.05" hidden="false" customHeight="true" outlineLevel="0" collapsed="false">
      <c r="A51" s="112" t="s">
        <v>22</v>
      </c>
      <c r="B51" s="113" t="s">
        <v>155</v>
      </c>
      <c r="C51" s="113"/>
      <c r="D51" s="113"/>
      <c r="E51" s="113"/>
      <c r="F51" s="112"/>
      <c r="G51" s="112"/>
      <c r="H51" s="112"/>
      <c r="I51" s="114" t="n">
        <f aca="false">SUM(I28:I50)</f>
        <v>3209.4683075</v>
      </c>
      <c r="J51" s="112"/>
      <c r="K51" s="114" t="n">
        <f aca="false">SUM(K28:K50)</f>
        <v>1483.7135425</v>
      </c>
      <c r="L51" s="115"/>
      <c r="M51" s="116"/>
      <c r="N51" s="116"/>
      <c r="AMJ51" s="71"/>
    </row>
    <row r="52" s="117" customFormat="true" ht="12.8" hidden="false" customHeight="false" outlineLevel="0" collapsed="false">
      <c r="M52" s="116"/>
      <c r="N52" s="116"/>
    </row>
    <row r="53" customFormat="false" ht="13.05" hidden="false" customHeight="true" outlineLevel="0" collapsed="false">
      <c r="A53" s="101" t="s">
        <v>156</v>
      </c>
      <c r="B53" s="72"/>
      <c r="C53" s="72"/>
      <c r="D53" s="72"/>
      <c r="E53" s="72"/>
      <c r="F53" s="118" t="s">
        <v>97</v>
      </c>
      <c r="G53" s="118"/>
      <c r="H53" s="118"/>
      <c r="I53" s="119" t="s">
        <v>107</v>
      </c>
      <c r="J53" s="119"/>
      <c r="K53" s="119"/>
      <c r="L53" s="105"/>
      <c r="M53" s="120"/>
      <c r="N53" s="121"/>
    </row>
    <row r="54" customFormat="false" ht="35.4" hidden="false" customHeight="true" outlineLevel="0" collapsed="false">
      <c r="A54" s="118" t="s">
        <v>157</v>
      </c>
      <c r="B54" s="118" t="s">
        <v>121</v>
      </c>
      <c r="C54" s="118"/>
      <c r="D54" s="118" t="s">
        <v>158</v>
      </c>
      <c r="E54" s="118" t="s">
        <v>159</v>
      </c>
      <c r="F54" s="118" t="s">
        <v>160</v>
      </c>
      <c r="G54" s="118" t="s">
        <v>161</v>
      </c>
      <c r="H54" s="118" t="s">
        <v>162</v>
      </c>
      <c r="I54" s="118" t="s">
        <v>160</v>
      </c>
      <c r="J54" s="118" t="s">
        <v>161</v>
      </c>
      <c r="K54" s="118" t="s">
        <v>162</v>
      </c>
      <c r="L54" s="122" t="s">
        <v>163</v>
      </c>
      <c r="M54" s="123" t="n">
        <f aca="false">INDEX(O54:AA54,1,MATCH(MAX($O$64:$AA$64),$O$64:$AA$64,0))</f>
        <v>8</v>
      </c>
      <c r="N54" s="123" t="n">
        <f aca="false">INDEX(O54:AA54,1,MATCH(MAX($O$65:$AA$65),$O$65:$AA$65,0))</f>
        <v>8</v>
      </c>
      <c r="O54" s="104" t="n">
        <f aca="false">VALUES!$C$21</f>
        <v>6</v>
      </c>
      <c r="P54" s="104" t="n">
        <f aca="false">VALUES!$D$21</f>
        <v>7</v>
      </c>
      <c r="Q54" s="104" t="n">
        <f aca="false">VALUES!$E$21</f>
        <v>8</v>
      </c>
      <c r="R54" s="104" t="n">
        <f aca="false">VALUES!$F$21</f>
        <v>9</v>
      </c>
      <c r="S54" s="104" t="n">
        <f aca="false">VALUES!$G$21</f>
        <v>10</v>
      </c>
      <c r="T54" s="104" t="n">
        <f aca="false">VALUES!$H$21</f>
        <v>11</v>
      </c>
      <c r="U54" s="104" t="n">
        <f aca="false">VALUES!$I$21</f>
        <v>12</v>
      </c>
      <c r="V54" s="104" t="n">
        <f aca="false">VALUES!$J$21</f>
        <v>13</v>
      </c>
      <c r="W54" s="104" t="n">
        <f aca="false">VALUES!$K$21</f>
        <v>14</v>
      </c>
      <c r="X54" s="104" t="n">
        <f aca="false">VALUES!$L$21</f>
        <v>15</v>
      </c>
      <c r="Y54" s="104" t="n">
        <f aca="false">VALUES!$M$21</f>
        <v>16</v>
      </c>
      <c r="Z54" s="104" t="n">
        <f aca="false">VALUES!$N$21</f>
        <v>17</v>
      </c>
      <c r="AA54" s="104" t="n">
        <f aca="false">VALUES!$O$21</f>
        <v>18</v>
      </c>
    </row>
    <row r="55" customFormat="false" ht="13.05" hidden="false" customHeight="true" outlineLevel="0" collapsed="false">
      <c r="A55" s="79" t="n">
        <v>1</v>
      </c>
      <c r="B55" s="124" t="s">
        <v>140</v>
      </c>
      <c r="C55" s="124"/>
      <c r="D55" s="79" t="n">
        <f aca="false">F36</f>
        <v>0</v>
      </c>
      <c r="E55" s="87" t="n">
        <v>0.7</v>
      </c>
      <c r="F55" s="102" t="n">
        <f aca="false">M55</f>
        <v>0.65</v>
      </c>
      <c r="G55" s="79" t="n">
        <f aca="false">VALUES!$D$8</f>
        <v>237</v>
      </c>
      <c r="H55" s="125" t="n">
        <f aca="false">D55*G55*E55*F55</f>
        <v>0</v>
      </c>
      <c r="I55" s="102" t="n">
        <f aca="false">N55</f>
        <v>0.65</v>
      </c>
      <c r="J55" s="79" t="n">
        <f aca="false">VALUES!$F$8</f>
        <v>101</v>
      </c>
      <c r="K55" s="103" t="n">
        <f aca="false">D55*E55*I55*J55</f>
        <v>0</v>
      </c>
      <c r="L55" s="105"/>
      <c r="M55" s="109" t="n">
        <f aca="false">INDEX(O55:AA55,1,MATCH(MAX($O$64:$AA$64),$O$64:$AA$64,0))</f>
        <v>0.65</v>
      </c>
      <c r="N55" s="106" t="n">
        <f aca="false">INDEX(O55:AA55,1,MATCH(MAX($O$65:$AA$65),$O$65:$AA$65,0))</f>
        <v>0.65</v>
      </c>
      <c r="O55" s="70" t="n">
        <f aca="false">VALUES!$C$23</f>
        <v>0.73</v>
      </c>
      <c r="P55" s="70" t="n">
        <f aca="false">VALUES!$D$23</f>
        <v>0.66</v>
      </c>
      <c r="Q55" s="70" t="n">
        <f aca="false">VALUES!$E$23</f>
        <v>0.65</v>
      </c>
      <c r="R55" s="70" t="n">
        <f aca="false">VALUES!$F$23</f>
        <v>0.73</v>
      </c>
      <c r="S55" s="70" t="n">
        <f aca="false">VALUES!$G$23</f>
        <v>0.8</v>
      </c>
      <c r="T55" s="70" t="n">
        <f aca="false">VALUES!$H$23</f>
        <v>0.86</v>
      </c>
      <c r="U55" s="70" t="n">
        <f aca="false">VALUES!$I$23</f>
        <v>0.89</v>
      </c>
      <c r="V55" s="70" t="n">
        <f aca="false">VALUES!$J$23</f>
        <v>0.89</v>
      </c>
      <c r="W55" s="70" t="n">
        <f aca="false">VALUES!$K$23</f>
        <v>0.86</v>
      </c>
      <c r="X55" s="70" t="n">
        <f aca="false">VALUES!$L$23</f>
        <v>0.82</v>
      </c>
      <c r="Y55" s="70" t="n">
        <f aca="false">VALUES!$M$23</f>
        <v>0.75</v>
      </c>
      <c r="Z55" s="70" t="n">
        <f aca="false">VALUES!$N$23</f>
        <v>0.78</v>
      </c>
      <c r="AA55" s="70" t="n">
        <f aca="false">VALUES!$O$23</f>
        <v>0.91</v>
      </c>
    </row>
    <row r="56" customFormat="false" ht="13.05" hidden="false" customHeight="true" outlineLevel="0" collapsed="false">
      <c r="A56" s="79" t="n">
        <v>2</v>
      </c>
      <c r="B56" s="124" t="s">
        <v>141</v>
      </c>
      <c r="C56" s="124"/>
      <c r="D56" s="79" t="n">
        <f aca="false">F37</f>
        <v>0</v>
      </c>
      <c r="E56" s="87" t="n">
        <v>0.7</v>
      </c>
      <c r="F56" s="102" t="n">
        <f aca="false">M56</f>
        <v>0.74</v>
      </c>
      <c r="G56" s="79" t="n">
        <f aca="false">VALUES!$D$9</f>
        <v>625</v>
      </c>
      <c r="H56" s="103" t="n">
        <f aca="false">D56*G56*E56*F56</f>
        <v>0</v>
      </c>
      <c r="I56" s="102" t="n">
        <f aca="false">N56</f>
        <v>0.74</v>
      </c>
      <c r="J56" s="79" t="n">
        <f aca="false">VALUES!$F$9</f>
        <v>199</v>
      </c>
      <c r="K56" s="103" t="n">
        <f aca="false">D56*E56*I56*J56</f>
        <v>0</v>
      </c>
      <c r="L56" s="105"/>
      <c r="M56" s="109" t="n">
        <f aca="false">INDEX(O56:AA56,1,MATCH(MAX($O$64:$AA$64),$O$64:$AA$64,0))</f>
        <v>0.74</v>
      </c>
      <c r="N56" s="109" t="n">
        <f aca="false">INDEX(O56:AA56,1,MATCH(MAX($O$65:$AA$65),$O$65:$AA$65,0))</f>
        <v>0.74</v>
      </c>
      <c r="O56" s="70" t="n">
        <f aca="false">VALUES!$C$24</f>
        <v>0.56</v>
      </c>
      <c r="P56" s="70" t="n">
        <f aca="false">VALUES!$D$24</f>
        <v>0.76</v>
      </c>
      <c r="Q56" s="70" t="n">
        <f aca="false">VALUES!$E$24</f>
        <v>0.74</v>
      </c>
      <c r="R56" s="70" t="n">
        <f aca="false">VALUES!$F$24</f>
        <v>0.58</v>
      </c>
      <c r="S56" s="70" t="n">
        <f aca="false">VALUES!$G$24</f>
        <v>0.37</v>
      </c>
      <c r="T56" s="70" t="n">
        <f aca="false">VALUES!$H$24</f>
        <v>0.29</v>
      </c>
      <c r="U56" s="70" t="n">
        <f aca="false">VALUES!$I$24</f>
        <v>0.27</v>
      </c>
      <c r="V56" s="70" t="n">
        <f aca="false">VALUES!$J$24</f>
        <v>0.26</v>
      </c>
      <c r="W56" s="70" t="n">
        <f aca="false">VALUES!$K$24</f>
        <v>0.24</v>
      </c>
      <c r="X56" s="70" t="n">
        <f aca="false">VALUES!$L$24</f>
        <v>0.22</v>
      </c>
      <c r="Y56" s="70" t="n">
        <f aca="false">VALUES!$M$24</f>
        <v>0.2</v>
      </c>
      <c r="Z56" s="70" t="n">
        <f aca="false">VALUES!$N$24</f>
        <v>0.16</v>
      </c>
      <c r="AA56" s="70" t="n">
        <f aca="false">VALUES!$O$24</f>
        <v>0.12</v>
      </c>
    </row>
    <row r="57" customFormat="false" ht="13.05" hidden="false" customHeight="true" outlineLevel="0" collapsed="false">
      <c r="A57" s="79" t="n">
        <v>3</v>
      </c>
      <c r="B57" s="124" t="s">
        <v>142</v>
      </c>
      <c r="C57" s="124"/>
      <c r="D57" s="79" t="n">
        <f aca="false">F38</f>
        <v>7.875</v>
      </c>
      <c r="E57" s="87" t="n">
        <v>0.7</v>
      </c>
      <c r="F57" s="102" t="n">
        <f aca="false">M57</f>
        <v>0.8</v>
      </c>
      <c r="G57" s="79" t="n">
        <f aca="false">VALUES!$D$10</f>
        <v>644</v>
      </c>
      <c r="H57" s="103" t="n">
        <f aca="false">D57*G57*E57*F57</f>
        <v>2840.04</v>
      </c>
      <c r="I57" s="102" t="n">
        <f aca="false">N57</f>
        <v>0.8</v>
      </c>
      <c r="J57" s="79" t="n">
        <f aca="false">VALUES!$F$10</f>
        <v>675</v>
      </c>
      <c r="K57" s="103" t="n">
        <f aca="false">D57*E57*I57*J57</f>
        <v>2976.75</v>
      </c>
      <c r="L57" s="105"/>
      <c r="M57" s="109" t="n">
        <f aca="false">INDEX(O57:AA57,1,MATCH(MAX($O$64:$AA$64),$O$64:$AA$64,0))</f>
        <v>0.8</v>
      </c>
      <c r="N57" s="109" t="n">
        <f aca="false">INDEX(O57:AA57,1,MATCH(MAX($O$65:$AA$65),$O$65:$AA$65,0))</f>
        <v>0.8</v>
      </c>
      <c r="O57" s="70" t="n">
        <f aca="false">VALUES!$C$25</f>
        <v>0.47</v>
      </c>
      <c r="P57" s="70" t="n">
        <f aca="false">VALUES!$D$25</f>
        <v>0.72</v>
      </c>
      <c r="Q57" s="70" t="n">
        <f aca="false">VALUES!$E$25</f>
        <v>0.8</v>
      </c>
      <c r="R57" s="70" t="n">
        <f aca="false">VALUES!$F$25</f>
        <v>0.76</v>
      </c>
      <c r="S57" s="70" t="n">
        <f aca="false">VALUES!$G$25</f>
        <v>0.62</v>
      </c>
      <c r="T57" s="70" t="n">
        <f aca="false">VALUES!$H$25</f>
        <v>0.41</v>
      </c>
      <c r="U57" s="70" t="n">
        <f aca="false">VALUES!$I$25</f>
        <v>0.27</v>
      </c>
      <c r="V57" s="70" t="n">
        <f aca="false">VALUES!$J$25</f>
        <v>0.26</v>
      </c>
      <c r="W57" s="70" t="n">
        <f aca="false">VALUES!$K$25</f>
        <v>0.24</v>
      </c>
      <c r="X57" s="70" t="n">
        <f aca="false">VALUES!$L$25</f>
        <v>0.22</v>
      </c>
      <c r="Y57" s="70" t="n">
        <f aca="false">VALUES!$M$25</f>
        <v>0.2</v>
      </c>
      <c r="Z57" s="70" t="n">
        <f aca="false">VALUES!$N$25</f>
        <v>0.16</v>
      </c>
      <c r="AA57" s="70" t="n">
        <f aca="false">VALUES!$O$25</f>
        <v>0.12</v>
      </c>
    </row>
    <row r="58" customFormat="false" ht="13.05" hidden="false" customHeight="true" outlineLevel="0" collapsed="false">
      <c r="A58" s="79" t="n">
        <v>4</v>
      </c>
      <c r="B58" s="124" t="s">
        <v>143</v>
      </c>
      <c r="C58" s="124"/>
      <c r="D58" s="79" t="n">
        <f aca="false">F39</f>
        <v>0</v>
      </c>
      <c r="E58" s="87" t="n">
        <v>0.7</v>
      </c>
      <c r="F58" s="102" t="n">
        <f aca="false">M58</f>
        <v>0.74</v>
      </c>
      <c r="G58" s="79" t="n">
        <f aca="false">VALUES!$D$11</f>
        <v>284</v>
      </c>
      <c r="H58" s="103" t="n">
        <f aca="false">D58*G58*E58*F58</f>
        <v>0</v>
      </c>
      <c r="I58" s="102" t="n">
        <f aca="false">N58</f>
        <v>0.74</v>
      </c>
      <c r="J58" s="79" t="n">
        <f aca="false">VALUES!$F$11</f>
        <v>767</v>
      </c>
      <c r="K58" s="103" t="n">
        <f aca="false">D58*E58*I58*J58</f>
        <v>0</v>
      </c>
      <c r="L58" s="105"/>
      <c r="M58" s="109" t="n">
        <f aca="false">INDEX(O58:AA58,1,MATCH(MAX($O$64:$AA$64),$O$64:$AA$64,0))</f>
        <v>0.74</v>
      </c>
      <c r="N58" s="109" t="n">
        <f aca="false">INDEX(O58:AA58,1,MATCH(MAX($O$65:$AA$65),$O$65:$AA$65,0))</f>
        <v>0.74</v>
      </c>
      <c r="O58" s="70" t="n">
        <f aca="false">VALUES!$C$26</f>
        <v>0.3</v>
      </c>
      <c r="P58" s="70" t="n">
        <f aca="false">VALUES!$D$26</f>
        <v>0.57</v>
      </c>
      <c r="Q58" s="70" t="n">
        <f aca="false">VALUES!$E$26</f>
        <v>0.74</v>
      </c>
      <c r="R58" s="70" t="n">
        <f aca="false">VALUES!$F$26</f>
        <v>0.81</v>
      </c>
      <c r="S58" s="70" t="n">
        <f aca="false">VALUES!$G$26</f>
        <v>0.79</v>
      </c>
      <c r="T58" s="70" t="n">
        <f aca="false">VALUES!$H$26</f>
        <v>0.68</v>
      </c>
      <c r="U58" s="70" t="n">
        <f aca="false">VALUES!$I$26</f>
        <v>0.49</v>
      </c>
      <c r="V58" s="70" t="n">
        <f aca="false">VALUES!$J$26</f>
        <v>0.33</v>
      </c>
      <c r="W58" s="70" t="n">
        <f aca="false">VALUES!$K$26</f>
        <v>0.28</v>
      </c>
      <c r="X58" s="70" t="n">
        <f aca="false">VALUES!$L$26</f>
        <v>0.25</v>
      </c>
      <c r="Y58" s="70" t="n">
        <f aca="false">VALUES!$M$26</f>
        <v>0.22</v>
      </c>
      <c r="Z58" s="70" t="n">
        <f aca="false">VALUES!$N$26</f>
        <v>0.18</v>
      </c>
      <c r="AA58" s="70" t="n">
        <f aca="false">VALUES!$O$26</f>
        <v>0.13</v>
      </c>
    </row>
    <row r="59" customFormat="false" ht="13.05" hidden="false" customHeight="true" outlineLevel="0" collapsed="false">
      <c r="A59" s="79" t="n">
        <v>5</v>
      </c>
      <c r="B59" s="124" t="s">
        <v>144</v>
      </c>
      <c r="C59" s="124"/>
      <c r="D59" s="79" t="n">
        <f aca="false">F40</f>
        <v>0</v>
      </c>
      <c r="E59" s="87" t="n">
        <v>0.7</v>
      </c>
      <c r="F59" s="102" t="n">
        <f aca="false">M59</f>
        <v>0.23</v>
      </c>
      <c r="G59" s="79" t="n">
        <f aca="false">VALUES!$D$12</f>
        <v>126</v>
      </c>
      <c r="H59" s="103" t="n">
        <f aca="false">D59*G59*E59*F59</f>
        <v>0</v>
      </c>
      <c r="I59" s="102" t="n">
        <f aca="false">N59</f>
        <v>0.23</v>
      </c>
      <c r="J59" s="79" t="n">
        <f aca="false">VALUES!$F$12</f>
        <v>565</v>
      </c>
      <c r="K59" s="103" t="n">
        <f aca="false">D59*E59*I59*J59</f>
        <v>0</v>
      </c>
      <c r="L59" s="105"/>
      <c r="M59" s="109" t="n">
        <f aca="false">INDEX(O59:AA59,1,MATCH(MAX($O$64:$AA$64),$O$64:$AA$64,0))</f>
        <v>0.23</v>
      </c>
      <c r="N59" s="109" t="n">
        <f aca="false">INDEX(O59:AA59,1,MATCH(MAX($O$65:$AA$65),$O$65:$AA$65,0))</f>
        <v>0.23</v>
      </c>
      <c r="O59" s="70" t="n">
        <f aca="false">VALUES!$C$27</f>
        <v>0.09</v>
      </c>
      <c r="P59" s="70" t="n">
        <f aca="false">VALUES!$D$27</f>
        <v>0.16</v>
      </c>
      <c r="Q59" s="70" t="n">
        <f aca="false">VALUES!$E$27</f>
        <v>0.23</v>
      </c>
      <c r="R59" s="70" t="n">
        <f aca="false">VALUES!$F$27</f>
        <v>0.38</v>
      </c>
      <c r="S59" s="70" t="n">
        <f aca="false">VALUES!$G$27</f>
        <v>0.58</v>
      </c>
      <c r="T59" s="70" t="n">
        <f aca="false">VALUES!$H$27</f>
        <v>0.75</v>
      </c>
      <c r="U59" s="70" t="n">
        <f aca="false">VALUES!$I$27</f>
        <v>0.83</v>
      </c>
      <c r="V59" s="70" t="n">
        <f aca="false">VALUES!$J$27</f>
        <v>0.8</v>
      </c>
      <c r="W59" s="70" t="n">
        <f aca="false">VALUES!$K$27</f>
        <v>0.68</v>
      </c>
      <c r="X59" s="70" t="n">
        <f aca="false">VALUES!$L$27</f>
        <v>0.5</v>
      </c>
      <c r="Y59" s="70" t="n">
        <f aca="false">VALUES!$M$27</f>
        <v>0.35</v>
      </c>
      <c r="Z59" s="70" t="n">
        <f aca="false">VALUES!$N$27</f>
        <v>0.27</v>
      </c>
      <c r="AA59" s="70" t="n">
        <f aca="false">VALUES!$O$27</f>
        <v>0.19</v>
      </c>
    </row>
    <row r="60" customFormat="false" ht="13.05" hidden="false" customHeight="true" outlineLevel="0" collapsed="false">
      <c r="A60" s="79" t="n">
        <v>6</v>
      </c>
      <c r="B60" s="124" t="s">
        <v>145</v>
      </c>
      <c r="C60" s="124"/>
      <c r="D60" s="79" t="n">
        <f aca="false">F41</f>
        <v>0</v>
      </c>
      <c r="E60" s="87" t="n">
        <v>0.7</v>
      </c>
      <c r="F60" s="102" t="n">
        <f aca="false">M60</f>
        <v>0.14</v>
      </c>
      <c r="G60" s="79" t="n">
        <f aca="false">VALUES!$D$13</f>
        <v>284</v>
      </c>
      <c r="H60" s="103" t="n">
        <f aca="false">D60*G60*E60*F60</f>
        <v>0</v>
      </c>
      <c r="I60" s="102" t="n">
        <f aca="false">N60</f>
        <v>0.14</v>
      </c>
      <c r="J60" s="79" t="n">
        <f aca="false">VALUES!$F$13</f>
        <v>767</v>
      </c>
      <c r="K60" s="103" t="n">
        <f aca="false">D60*E60*I60*J60</f>
        <v>0</v>
      </c>
      <c r="L60" s="105"/>
      <c r="M60" s="109" t="n">
        <f aca="false">INDEX(O60:AA60,1,MATCH(MAX($O$64:$AA$64),$O$64:$AA$64,0))</f>
        <v>0.14</v>
      </c>
      <c r="N60" s="109" t="n">
        <f aca="false">INDEX(O60:AA60,1,MATCH(MAX($O$65:$AA$65),$O$65:$AA$65,0))</f>
        <v>0.14</v>
      </c>
      <c r="O60" s="70" t="n">
        <f aca="false">VALUES!$C$28</f>
        <v>0.07</v>
      </c>
      <c r="P60" s="70" t="n">
        <f aca="false">VALUES!$D$28</f>
        <v>0.11</v>
      </c>
      <c r="Q60" s="70" t="n">
        <f aca="false">VALUES!$E$28</f>
        <v>0.14</v>
      </c>
      <c r="R60" s="70" t="n">
        <f aca="false">VALUES!$F$28</f>
        <v>0.16</v>
      </c>
      <c r="S60" s="70" t="n">
        <f aca="false">VALUES!$G$28</f>
        <v>0.19</v>
      </c>
      <c r="T60" s="70" t="n">
        <f aca="false">VALUES!$H$28</f>
        <v>0.22</v>
      </c>
      <c r="U60" s="70" t="n">
        <f aca="false">VALUES!$I$28</f>
        <v>0.38</v>
      </c>
      <c r="V60" s="70" t="n">
        <f aca="false">VALUES!$J$28</f>
        <v>0.59</v>
      </c>
      <c r="W60" s="70" t="n">
        <f aca="false">VALUES!$K$28</f>
        <v>0.75</v>
      </c>
      <c r="X60" s="70" t="n">
        <f aca="false">VALUES!$L$28</f>
        <v>0.83</v>
      </c>
      <c r="Y60" s="70" t="n">
        <f aca="false">VALUES!$M$28</f>
        <v>0.81</v>
      </c>
      <c r="Z60" s="70" t="n">
        <f aca="false">VALUES!$N$28</f>
        <v>0.69</v>
      </c>
      <c r="AA60" s="70" t="n">
        <f aca="false">VALUES!$O$28</f>
        <v>0.45</v>
      </c>
    </row>
    <row r="61" customFormat="false" ht="13.05" hidden="false" customHeight="true" outlineLevel="0" collapsed="false">
      <c r="A61" s="79" t="n">
        <v>7</v>
      </c>
      <c r="B61" s="124" t="s">
        <v>146</v>
      </c>
      <c r="C61" s="124"/>
      <c r="D61" s="79" t="n">
        <f aca="false">F42</f>
        <v>0</v>
      </c>
      <c r="E61" s="87" t="n">
        <v>0.7</v>
      </c>
      <c r="F61" s="102" t="n">
        <f aca="false">M61</f>
        <v>0.11</v>
      </c>
      <c r="G61" s="79" t="n">
        <f aca="false">VALUES!$D$14</f>
        <v>644</v>
      </c>
      <c r="H61" s="103" t="n">
        <f aca="false">D61*G61*E61*F61</f>
        <v>0</v>
      </c>
      <c r="I61" s="102" t="n">
        <f aca="false">N61</f>
        <v>0.11</v>
      </c>
      <c r="J61" s="79" t="n">
        <f aca="false">VALUES!$F$14</f>
        <v>675</v>
      </c>
      <c r="K61" s="103" t="n">
        <f aca="false">D61*E61*I61*J61</f>
        <v>0</v>
      </c>
      <c r="L61" s="105"/>
      <c r="M61" s="109" t="n">
        <f aca="false">INDEX(O61:AA61,1,MATCH(MAX($O$64:$AA$64),$O$64:$AA$64,0))</f>
        <v>0.11</v>
      </c>
      <c r="N61" s="109" t="n">
        <f aca="false">INDEX(O61:AA61,1,MATCH(MAX($O$65:$AA$65),$O$65:$AA$65,0))</f>
        <v>0.11</v>
      </c>
      <c r="O61" s="70" t="n">
        <f aca="false">VALUES!$C$29</f>
        <v>0.06</v>
      </c>
      <c r="P61" s="70" t="n">
        <f aca="false">VALUES!$D$29</f>
        <v>0.09</v>
      </c>
      <c r="Q61" s="70" t="n">
        <f aca="false">VALUES!$E$29</f>
        <v>0.11</v>
      </c>
      <c r="R61" s="70" t="n">
        <f aca="false">VALUES!$F$29</f>
        <v>0.13</v>
      </c>
      <c r="S61" s="70" t="n">
        <f aca="false">VALUES!$G$29</f>
        <v>0.15</v>
      </c>
      <c r="T61" s="70" t="n">
        <f aca="false">VALUES!$H$29</f>
        <v>0.16</v>
      </c>
      <c r="U61" s="70" t="n">
        <f aca="false">VALUES!$I$29</f>
        <v>0.17</v>
      </c>
      <c r="V61" s="70" t="n">
        <f aca="false">VALUES!$J$29</f>
        <v>0.31</v>
      </c>
      <c r="W61" s="70" t="n">
        <f aca="false">VALUES!$K$29</f>
        <v>0.53</v>
      </c>
      <c r="X61" s="70" t="n">
        <f aca="false">VALUES!$L$29</f>
        <v>0.72</v>
      </c>
      <c r="Y61" s="70" t="n">
        <f aca="false">VALUES!$M$29</f>
        <v>0.82</v>
      </c>
      <c r="Z61" s="70" t="n">
        <f aca="false">VALUES!$N$29</f>
        <v>0.81</v>
      </c>
      <c r="AA61" s="70" t="n">
        <f aca="false">VALUES!$O$29</f>
        <v>0.61</v>
      </c>
    </row>
    <row r="62" customFormat="false" ht="13.05" hidden="false" customHeight="true" outlineLevel="0" collapsed="false">
      <c r="A62" s="79" t="n">
        <v>8</v>
      </c>
      <c r="B62" s="124" t="s">
        <v>147</v>
      </c>
      <c r="C62" s="124"/>
      <c r="D62" s="79" t="n">
        <f aca="false">F43</f>
        <v>0</v>
      </c>
      <c r="E62" s="87" t="n">
        <v>0.7</v>
      </c>
      <c r="F62" s="102" t="n">
        <f aca="false">M62</f>
        <v>0.14</v>
      </c>
      <c r="G62" s="79" t="n">
        <f aca="false">VALUES!$D$15</f>
        <v>625</v>
      </c>
      <c r="H62" s="103" t="n">
        <f aca="false">D62*G62*E62*F62</f>
        <v>0</v>
      </c>
      <c r="I62" s="102" t="n">
        <f aca="false">N62</f>
        <v>0.14</v>
      </c>
      <c r="J62" s="79" t="n">
        <f aca="false">VALUES!$F$15</f>
        <v>199</v>
      </c>
      <c r="K62" s="103" t="n">
        <f aca="false">D62*E62*I62*J62</f>
        <v>0</v>
      </c>
      <c r="L62" s="105"/>
      <c r="M62" s="109" t="n">
        <f aca="false">INDEX(O62:AA62,1,MATCH(MAX($O$64:$AA$64),$O$64:$AA$64,0))</f>
        <v>0.14</v>
      </c>
      <c r="N62" s="109" t="n">
        <f aca="false">INDEX(O62:AA62,1,MATCH(MAX($O$65:$AA$65),$O$65:$AA$65,0))</f>
        <v>0.14</v>
      </c>
      <c r="O62" s="70" t="n">
        <f aca="false">VALUES!$C$30</f>
        <v>0.07</v>
      </c>
      <c r="P62" s="70" t="n">
        <f aca="false">VALUES!$D$30</f>
        <v>0.11</v>
      </c>
      <c r="Q62" s="70" t="n">
        <f aca="false">VALUES!$E$30</f>
        <v>0.14</v>
      </c>
      <c r="R62" s="70" t="n">
        <f aca="false">VALUES!$F$30</f>
        <v>0.17</v>
      </c>
      <c r="S62" s="70" t="n">
        <f aca="false">VALUES!$G$30</f>
        <v>0.19</v>
      </c>
      <c r="T62" s="70" t="n">
        <f aca="false">VALUES!$H$30</f>
        <v>0.2</v>
      </c>
      <c r="U62" s="70" t="n">
        <f aca="false">VALUES!$I$30</f>
        <v>0.21</v>
      </c>
      <c r="V62" s="70" t="n">
        <f aca="false">VALUES!$J$30</f>
        <v>0.22</v>
      </c>
      <c r="W62" s="70" t="n">
        <f aca="false">VALUES!$K$30</f>
        <v>0.3</v>
      </c>
      <c r="X62" s="70" t="n">
        <f aca="false">VALUES!$L$30</f>
        <v>0.52</v>
      </c>
      <c r="Y62" s="70" t="n">
        <f aca="false">VALUES!$M$30</f>
        <v>0.73</v>
      </c>
      <c r="Z62" s="70" t="n">
        <f aca="false">VALUES!$N$30</f>
        <v>0.82</v>
      </c>
      <c r="AA62" s="70" t="n">
        <f aca="false">VALUES!$O$30</f>
        <v>0.69</v>
      </c>
    </row>
    <row r="63" customFormat="false" ht="13.05" hidden="false" customHeight="true" outlineLevel="0" collapsed="false">
      <c r="A63" s="79" t="n">
        <v>9</v>
      </c>
      <c r="B63" s="124" t="s">
        <v>164</v>
      </c>
      <c r="C63" s="124"/>
      <c r="D63" s="79" t="n">
        <f aca="false">F49</f>
        <v>0</v>
      </c>
      <c r="E63" s="87" t="n">
        <v>0.6</v>
      </c>
      <c r="F63" s="102" t="n">
        <f aca="false">M63</f>
        <v>0.44</v>
      </c>
      <c r="G63" s="79" t="n">
        <f aca="false">VALUES!$D$16</f>
        <v>864</v>
      </c>
      <c r="H63" s="103" t="n">
        <f aca="false">D63*G63*E63*F63</f>
        <v>0</v>
      </c>
      <c r="I63" s="102" t="n">
        <f aca="false">N63</f>
        <v>0.44</v>
      </c>
      <c r="J63" s="79" t="n">
        <f aca="false">VALUES!$F$16</f>
        <v>820</v>
      </c>
      <c r="K63" s="103" t="n">
        <f aca="false">D63*E63*I63*J63</f>
        <v>0</v>
      </c>
      <c r="L63" s="105"/>
      <c r="M63" s="109" t="n">
        <f aca="false">INDEX(O63:AA63,1,MATCH(MAX($O$64:$AA$64),$O$64:$AA$64,0))</f>
        <v>0.44</v>
      </c>
      <c r="N63" s="109" t="n">
        <f aca="false">INDEX(O63:AA63,1,MATCH(MAX($O$65:$AA$65),$O$65:$AA$65,0))</f>
        <v>0.44</v>
      </c>
      <c r="O63" s="70" t="n">
        <f aca="false">VALUES!$C$31</f>
        <v>0.12</v>
      </c>
      <c r="P63" s="70" t="n">
        <f aca="false">VALUES!$D$31</f>
        <v>0.27</v>
      </c>
      <c r="Q63" s="70" t="n">
        <f aca="false">VALUES!$E$31</f>
        <v>0.44</v>
      </c>
      <c r="R63" s="70" t="n">
        <f aca="false">VALUES!$F$31</f>
        <v>0.59</v>
      </c>
      <c r="S63" s="70" t="n">
        <f aca="false">VALUES!$G$31</f>
        <v>0.72</v>
      </c>
      <c r="T63" s="70" t="n">
        <f aca="false">VALUES!$H$31</f>
        <v>0.81</v>
      </c>
      <c r="U63" s="70" t="n">
        <f aca="false">VALUES!$I$31</f>
        <v>0.85</v>
      </c>
      <c r="V63" s="70" t="n">
        <f aca="false">VALUES!$J$31</f>
        <v>0.85</v>
      </c>
      <c r="W63" s="70" t="n">
        <f aca="false">VALUES!$K$31</f>
        <v>0.81</v>
      </c>
      <c r="X63" s="70" t="n">
        <f aca="false">VALUES!$L$31</f>
        <v>0.71</v>
      </c>
      <c r="Y63" s="70" t="n">
        <f aca="false">VALUES!$M$31</f>
        <v>0.58</v>
      </c>
      <c r="Z63" s="70" t="n">
        <f aca="false">VALUES!$N$31</f>
        <v>0.42</v>
      </c>
      <c r="AA63" s="70" t="n">
        <f aca="false">VALUES!$O$31</f>
        <v>0.25</v>
      </c>
    </row>
    <row r="64" customFormat="false" ht="13.05" hidden="false" customHeight="true" outlineLevel="0" collapsed="false">
      <c r="A64" s="79" t="n">
        <v>10</v>
      </c>
      <c r="B64" s="124" t="s">
        <v>154</v>
      </c>
      <c r="C64" s="124"/>
      <c r="D64" s="87"/>
      <c r="E64" s="87"/>
      <c r="F64" s="87"/>
      <c r="G64" s="87"/>
      <c r="H64" s="103" t="n">
        <f aca="false">D64*G64*E64*F64</f>
        <v>0</v>
      </c>
      <c r="I64" s="87"/>
      <c r="J64" s="87"/>
      <c r="K64" s="103" t="n">
        <f aca="false">D64*E64*I64*J64</f>
        <v>0</v>
      </c>
      <c r="L64" s="105"/>
      <c r="M64" s="123" t="n">
        <f aca="false">INDEX(O64:AA64,1,MATCH(MAX($O$64:$AA$64),$O$64:$AA$64,0))</f>
        <v>2840.04</v>
      </c>
      <c r="N64" s="121"/>
      <c r="O64" s="126" t="n">
        <f aca="false">SUMPRODUCT(O55:O63, $E$55:$E$63, $D$55:$D$63, $G$55:$G$63)</f>
        <v>1668.5235</v>
      </c>
      <c r="P64" s="126" t="n">
        <f aca="false">SUMPRODUCT(P55:P63, $E$55:$E$63, $D$55:$D$63, $G$55:$G$63)</f>
        <v>2556.036</v>
      </c>
      <c r="Q64" s="126" t="n">
        <f aca="false">SUMPRODUCT(Q55:Q63, $E$55:$E$63, $D$55:$D$63, $G$55:$G$63)</f>
        <v>2840.04</v>
      </c>
      <c r="R64" s="126" t="n">
        <f aca="false">SUMPRODUCT(R55:R63, $E$55:$E$63, $D$55:$D$63, $G$55:$G$63)</f>
        <v>2698.038</v>
      </c>
      <c r="S64" s="126" t="n">
        <f aca="false">SUMPRODUCT(S55:S63, $E$55:$E$63, $D$55:$D$63, $G$55:$G$63)</f>
        <v>2201.031</v>
      </c>
      <c r="T64" s="126" t="n">
        <f aca="false">SUMPRODUCT(T55:T63, $E$55:$E$63, $D$55:$D$63, $G$55:$G$63)</f>
        <v>1455.5205</v>
      </c>
      <c r="U64" s="126" t="n">
        <f aca="false">SUMPRODUCT(U55:U63, $E$55:$E$63, $D$55:$D$63, $G$55:$G$63)</f>
        <v>958.5135</v>
      </c>
      <c r="V64" s="126" t="n">
        <f aca="false">SUMPRODUCT(V55:V63, $E$55:$E$63, $D$55:$D$63, $G$55:$G$63)</f>
        <v>923.013</v>
      </c>
      <c r="W64" s="126" t="n">
        <f aca="false">SUMPRODUCT(W55:W63, $E$55:$E$63, $D$55:$D$63, $G$55:$G$63)</f>
        <v>852.012</v>
      </c>
      <c r="X64" s="126" t="n">
        <f aca="false">SUMPRODUCT(X55:X63, $E$55:$E$63, $D$55:$D$63, $G$55:$G$63)</f>
        <v>781.011</v>
      </c>
      <c r="Y64" s="126" t="n">
        <f aca="false">SUMPRODUCT(Y55:Y63, $E$55:$E$63, $D$55:$D$63, $G$55:$G$63)</f>
        <v>710.01</v>
      </c>
      <c r="Z64" s="126" t="n">
        <f aca="false">SUMPRODUCT(Z55:Z63, $E$55:$E$63, $D$55:$D$63, $G$55:$G$63)</f>
        <v>568.008</v>
      </c>
      <c r="AA64" s="126" t="n">
        <f aca="false">SUMPRODUCT(AA55:AA63, $E$55:$E$63, $D$55:$D$63, $G$55:$G$63)</f>
        <v>426.006</v>
      </c>
    </row>
    <row r="65" s="117" customFormat="true" ht="24.25" hidden="false" customHeight="true" outlineLevel="0" collapsed="false">
      <c r="A65" s="112" t="s">
        <v>4</v>
      </c>
      <c r="B65" s="127" t="s">
        <v>165</v>
      </c>
      <c r="C65" s="127"/>
      <c r="D65" s="112"/>
      <c r="E65" s="128"/>
      <c r="F65" s="112"/>
      <c r="G65" s="112"/>
      <c r="H65" s="114" t="n">
        <f aca="false">SUM(H55:H64)</f>
        <v>2840.04</v>
      </c>
      <c r="I65" s="112"/>
      <c r="J65" s="112"/>
      <c r="K65" s="114" t="n">
        <f aca="false">SUM(K55:K64)</f>
        <v>2976.75</v>
      </c>
      <c r="L65" s="105"/>
      <c r="M65" s="115"/>
      <c r="N65" s="123" t="n">
        <f aca="false">INDEX(O65:AA65,1,MATCH(MAX($O$65:$AA$65),$O$65:$AA$65,0))</f>
        <v>2976.75</v>
      </c>
      <c r="O65" s="126" t="n">
        <f aca="false">SUMPRODUCT(O55:O63, $E$55:$E$63, $D$55:$D$63, $J$55:$J$63)</f>
        <v>1748.840625</v>
      </c>
      <c r="P65" s="126" t="n">
        <f aca="false">SUMPRODUCT(P55:P63, $E$55:$E$63, $D$55:$D$63, $J$55:$J$63)</f>
        <v>2679.075</v>
      </c>
      <c r="Q65" s="126" t="n">
        <f aca="false">SUMPRODUCT(Q55:Q63, $E$55:$E$63, $D$55:$D$63, $J$55:$J$63)</f>
        <v>2976.75</v>
      </c>
      <c r="R65" s="126" t="n">
        <f aca="false">SUMPRODUCT(R55:R63, $E$55:$E$63, $D$55:$D$63, $J$55:$J$63)</f>
        <v>2827.9125</v>
      </c>
      <c r="S65" s="126" t="n">
        <f aca="false">SUMPRODUCT(S55:S63, $E$55:$E$63, $D$55:$D$63, $J$55:$J$63)</f>
        <v>2306.98125</v>
      </c>
      <c r="T65" s="126" t="n">
        <f aca="false">SUMPRODUCT(T55:T63, $E$55:$E$63, $D$55:$D$63, $J$55:$J$63)</f>
        <v>1525.584375</v>
      </c>
      <c r="U65" s="126" t="n">
        <f aca="false">SUMPRODUCT(U55:U63, $E$55:$E$63, $D$55:$D$63, $J$55:$J$63)</f>
        <v>1004.653125</v>
      </c>
      <c r="V65" s="126" t="n">
        <f aca="false">SUMPRODUCT(V55:V63, $E$55:$E$63, $D$55:$D$63, $J$55:$J$63)</f>
        <v>967.44375</v>
      </c>
      <c r="W65" s="126" t="n">
        <f aca="false">SUMPRODUCT(W55:W63, $E$55:$E$63, $D$55:$D$63, $J$55:$J$63)</f>
        <v>893.025</v>
      </c>
      <c r="X65" s="126" t="n">
        <f aca="false">SUMPRODUCT(X55:X63, $E$55:$E$63, $D$55:$D$63, $J$55:$J$63)</f>
        <v>818.60625</v>
      </c>
      <c r="Y65" s="126" t="n">
        <f aca="false">SUMPRODUCT(Y55:Y63, $E$55:$E$63, $D$55:$D$63, $J$55:$J$63)</f>
        <v>744.1875</v>
      </c>
      <c r="Z65" s="126" t="n">
        <f aca="false">SUMPRODUCT(Z55:Z63, $E$55:$E$63, $D$55:$D$63, $J$55:$J$63)</f>
        <v>595.35</v>
      </c>
      <c r="AA65" s="126" t="n">
        <f aca="false">SUMPRODUCT(AA55:AA63, $E$55:$E$63, $D$55:$D$63, $J$55:$J$63)</f>
        <v>446.5125</v>
      </c>
      <c r="AMJ65" s="71"/>
    </row>
    <row r="66" s="117" customFormat="true" ht="12.8" hidden="false" customHeight="false" outlineLevel="0" collapsed="false"/>
    <row r="67" customFormat="false" ht="13.05" hidden="false" customHeight="false" outlineLevel="0" collapsed="false">
      <c r="A67" s="101" t="s">
        <v>166</v>
      </c>
      <c r="B67" s="76"/>
      <c r="C67" s="76"/>
      <c r="D67" s="76"/>
      <c r="E67" s="76"/>
      <c r="F67" s="79" t="s">
        <v>167</v>
      </c>
      <c r="G67" s="79" t="s">
        <v>168</v>
      </c>
      <c r="H67" s="79" t="s">
        <v>169</v>
      </c>
      <c r="L67" s="72"/>
      <c r="M67" s="72"/>
      <c r="N67" s="72"/>
    </row>
    <row r="68" customFormat="false" ht="12.8" hidden="false" customHeight="false" outlineLevel="0" collapsed="false">
      <c r="A68" s="79" t="n">
        <v>1</v>
      </c>
      <c r="B68" s="79" t="s">
        <v>170</v>
      </c>
      <c r="C68" s="87" t="n">
        <v>2</v>
      </c>
      <c r="D68" s="79" t="s">
        <v>171</v>
      </c>
      <c r="E68" s="87" t="n">
        <v>60</v>
      </c>
      <c r="F68" s="87" t="n">
        <v>1</v>
      </c>
      <c r="G68" s="103" t="n">
        <f aca="false">C68*E68*F68</f>
        <v>120</v>
      </c>
      <c r="H68" s="129"/>
      <c r="L68" s="72"/>
      <c r="M68" s="72"/>
      <c r="N68" s="72"/>
    </row>
    <row r="69" customFormat="false" ht="12.8" hidden="false" customHeight="false" outlineLevel="0" collapsed="false">
      <c r="A69" s="79" t="n">
        <v>2</v>
      </c>
      <c r="B69" s="79" t="s">
        <v>170</v>
      </c>
      <c r="C69" s="87" t="n">
        <v>2</v>
      </c>
      <c r="D69" s="79" t="s">
        <v>171</v>
      </c>
      <c r="E69" s="87" t="n">
        <v>70</v>
      </c>
      <c r="F69" s="80"/>
      <c r="G69" s="129"/>
      <c r="H69" s="103" t="n">
        <f aca="false">C69*E69</f>
        <v>140</v>
      </c>
      <c r="L69" s="72"/>
      <c r="M69" s="72"/>
      <c r="N69" s="72"/>
    </row>
    <row r="70" customFormat="false" ht="13.05" hidden="false" customHeight="true" outlineLevel="0" collapsed="false">
      <c r="A70" s="112" t="s">
        <v>46</v>
      </c>
      <c r="B70" s="127" t="s">
        <v>172</v>
      </c>
      <c r="C70" s="127"/>
      <c r="D70" s="127"/>
      <c r="E70" s="127"/>
      <c r="F70" s="127"/>
      <c r="G70" s="114" t="n">
        <f aca="false">SUM(G68:G69)</f>
        <v>120</v>
      </c>
      <c r="H70" s="114" t="n">
        <f aca="false">SUM(H68:H69)</f>
        <v>140</v>
      </c>
      <c r="L70" s="72"/>
      <c r="M70" s="72"/>
      <c r="N70" s="72"/>
    </row>
    <row r="71" s="117" customFormat="true" ht="12.8" hidden="false" customHeight="false" outlineLevel="0" collapsed="false"/>
    <row r="72" customFormat="false" ht="35.4" hidden="false" customHeight="false" outlineLevel="0" collapsed="false">
      <c r="A72" s="101" t="s">
        <v>173</v>
      </c>
      <c r="B72" s="101"/>
      <c r="C72" s="101"/>
      <c r="D72" s="101"/>
      <c r="E72" s="101"/>
      <c r="F72" s="79" t="s">
        <v>174</v>
      </c>
      <c r="G72" s="79" t="s">
        <v>167</v>
      </c>
      <c r="H72" s="79" t="s">
        <v>168</v>
      </c>
      <c r="I72" s="79" t="s">
        <v>169</v>
      </c>
      <c r="L72" s="72"/>
      <c r="M72" s="72"/>
      <c r="N72" s="72"/>
    </row>
    <row r="73" customFormat="false" ht="12.8" hidden="false" customHeight="false" outlineLevel="0" collapsed="false">
      <c r="A73" s="79" t="n">
        <v>1</v>
      </c>
      <c r="B73" s="80" t="s">
        <v>175</v>
      </c>
      <c r="C73" s="87"/>
      <c r="D73" s="79" t="s">
        <v>171</v>
      </c>
      <c r="E73" s="87" t="n">
        <v>20</v>
      </c>
      <c r="F73" s="87" t="n">
        <v>1</v>
      </c>
      <c r="G73" s="87" t="n">
        <v>1</v>
      </c>
      <c r="H73" s="103" t="n">
        <f aca="false">C73*E73*F73*G73</f>
        <v>0</v>
      </c>
      <c r="I73" s="129"/>
      <c r="L73" s="72"/>
      <c r="M73" s="72"/>
      <c r="N73" s="72"/>
    </row>
    <row r="74" customFormat="false" ht="13.05" hidden="false" customHeight="false" outlineLevel="0" collapsed="false">
      <c r="A74" s="79" t="n">
        <v>2</v>
      </c>
      <c r="B74" s="82" t="s">
        <v>176</v>
      </c>
      <c r="C74" s="87"/>
      <c r="D74" s="79" t="s">
        <v>171</v>
      </c>
      <c r="E74" s="87" t="n">
        <v>100</v>
      </c>
      <c r="F74" s="87" t="n">
        <v>0.4</v>
      </c>
      <c r="G74" s="87" t="n">
        <v>1</v>
      </c>
      <c r="H74" s="103" t="n">
        <f aca="false">C74*E74*F74*G74</f>
        <v>0</v>
      </c>
      <c r="I74" s="129"/>
      <c r="L74" s="72"/>
      <c r="M74" s="72"/>
      <c r="N74" s="72"/>
    </row>
    <row r="75" customFormat="false" ht="12.8" hidden="false" customHeight="false" outlineLevel="0" collapsed="false">
      <c r="A75" s="79" t="n">
        <v>3</v>
      </c>
      <c r="B75" s="82" t="s">
        <v>177</v>
      </c>
      <c r="C75" s="87" t="n">
        <v>1</v>
      </c>
      <c r="D75" s="79" t="s">
        <v>171</v>
      </c>
      <c r="E75" s="87" t="n">
        <v>40000</v>
      </c>
      <c r="F75" s="87" t="n">
        <v>0.1</v>
      </c>
      <c r="G75" s="87" t="n">
        <v>1</v>
      </c>
      <c r="H75" s="103" t="n">
        <f aca="false">C75*E75*F75*G75</f>
        <v>4000</v>
      </c>
      <c r="I75" s="129"/>
      <c r="L75" s="72"/>
      <c r="M75" s="72"/>
      <c r="N75" s="72"/>
    </row>
    <row r="76" customFormat="false" ht="23.85" hidden="false" customHeight="false" outlineLevel="0" collapsed="false">
      <c r="A76" s="79" t="n">
        <v>4</v>
      </c>
      <c r="B76" s="82" t="s">
        <v>178</v>
      </c>
      <c r="C76" s="87"/>
      <c r="D76" s="87"/>
      <c r="E76" s="87"/>
      <c r="F76" s="87" t="n">
        <v>1</v>
      </c>
      <c r="G76" s="87" t="n">
        <v>1</v>
      </c>
      <c r="H76" s="103" t="n">
        <f aca="false">SUM(C76+D76+E76)*F76*G76</f>
        <v>0</v>
      </c>
      <c r="I76" s="129"/>
      <c r="L76" s="72"/>
      <c r="M76" s="72"/>
      <c r="N76" s="72"/>
    </row>
    <row r="77" customFormat="false" ht="23.85" hidden="false" customHeight="false" outlineLevel="0" collapsed="false">
      <c r="A77" s="79" t="n">
        <v>5</v>
      </c>
      <c r="B77" s="82" t="s">
        <v>179</v>
      </c>
      <c r="C77" s="87" t="n">
        <v>5</v>
      </c>
      <c r="D77" s="79" t="s">
        <v>171</v>
      </c>
      <c r="E77" s="87" t="n">
        <f aca="false">B85</f>
        <v>25.9</v>
      </c>
      <c r="F77" s="87" t="n">
        <v>1</v>
      </c>
      <c r="G77" s="87" t="n">
        <v>1</v>
      </c>
      <c r="H77" s="103" t="n">
        <f aca="false">C77*E77*F77*G77</f>
        <v>129.5</v>
      </c>
      <c r="I77" s="129"/>
      <c r="L77" s="72"/>
      <c r="M77" s="72"/>
      <c r="N77" s="72"/>
    </row>
    <row r="78" customFormat="false" ht="23.85" hidden="false" customHeight="false" outlineLevel="0" collapsed="false">
      <c r="A78" s="79" t="n">
        <v>6</v>
      </c>
      <c r="B78" s="82" t="s">
        <v>180</v>
      </c>
      <c r="C78" s="87" t="n">
        <v>30</v>
      </c>
      <c r="D78" s="79" t="s">
        <v>171</v>
      </c>
      <c r="E78" s="87" t="n">
        <f aca="false">B85</f>
        <v>25.9</v>
      </c>
      <c r="F78" s="87" t="n">
        <v>1</v>
      </c>
      <c r="G78" s="87" t="n">
        <v>1</v>
      </c>
      <c r="H78" s="103" t="n">
        <f aca="false">C78*E78*F78*G78</f>
        <v>777</v>
      </c>
      <c r="I78" s="129"/>
      <c r="L78" s="72"/>
      <c r="M78" s="72"/>
      <c r="N78" s="72"/>
    </row>
    <row r="79" customFormat="false" ht="13.05" hidden="false" customHeight="false" outlineLevel="0" collapsed="false">
      <c r="A79" s="79" t="n">
        <v>7</v>
      </c>
      <c r="B79" s="80" t="s">
        <v>181</v>
      </c>
      <c r="C79" s="87"/>
      <c r="D79" s="87"/>
      <c r="E79" s="87"/>
      <c r="F79" s="87" t="n">
        <v>1</v>
      </c>
      <c r="G79" s="87" t="n">
        <v>1</v>
      </c>
      <c r="H79" s="103" t="n">
        <f aca="false">SUM(C79+D79+E79)*F79*G79</f>
        <v>0</v>
      </c>
      <c r="I79" s="129"/>
      <c r="J79" s="105"/>
      <c r="K79" s="105"/>
      <c r="L79" s="89"/>
      <c r="M79" s="89"/>
      <c r="N79" s="72"/>
    </row>
    <row r="80" customFormat="false" ht="13.05" hidden="false" customHeight="false" outlineLevel="0" collapsed="false">
      <c r="A80" s="79" t="n">
        <v>8</v>
      </c>
      <c r="B80" s="80" t="s">
        <v>182</v>
      </c>
      <c r="C80" s="87"/>
      <c r="D80" s="87"/>
      <c r="E80" s="87"/>
      <c r="F80" s="87" t="n">
        <v>1</v>
      </c>
      <c r="G80" s="80"/>
      <c r="H80" s="129"/>
      <c r="I80" s="103" t="n">
        <f aca="false">SUM(C80+D80+E80)*F80</f>
        <v>0</v>
      </c>
      <c r="J80" s="105"/>
      <c r="K80" s="105"/>
      <c r="L80" s="89"/>
      <c r="M80" s="89"/>
      <c r="N80" s="72"/>
    </row>
    <row r="81" customFormat="false" ht="13.05" hidden="false" customHeight="true" outlineLevel="0" collapsed="false">
      <c r="A81" s="112" t="s">
        <v>183</v>
      </c>
      <c r="B81" s="127" t="s">
        <v>184</v>
      </c>
      <c r="C81" s="127"/>
      <c r="D81" s="127"/>
      <c r="E81" s="127"/>
      <c r="F81" s="127"/>
      <c r="G81" s="127"/>
      <c r="H81" s="114" t="n">
        <f aca="false">SUM(H73:H80)</f>
        <v>4906.5</v>
      </c>
      <c r="I81" s="114" t="n">
        <f aca="false">SUM(I73:I80)</f>
        <v>0</v>
      </c>
      <c r="L81" s="72"/>
      <c r="M81" s="72"/>
      <c r="N81" s="72"/>
    </row>
    <row r="82" s="117" customFormat="true" ht="12.8" hidden="false" customHeight="false" outlineLevel="0" collapsed="false"/>
    <row r="83" customFormat="false" ht="13.05" hidden="false" customHeight="true" outlineLevel="0" collapsed="false">
      <c r="A83" s="101" t="s">
        <v>185</v>
      </c>
      <c r="B83" s="88"/>
      <c r="C83" s="105"/>
      <c r="D83" s="105"/>
      <c r="E83" s="105"/>
      <c r="F83" s="88"/>
      <c r="G83" s="88"/>
      <c r="H83" s="118" t="s">
        <v>97</v>
      </c>
      <c r="I83" s="118"/>
      <c r="J83" s="118" t="s">
        <v>107</v>
      </c>
      <c r="K83" s="118"/>
      <c r="L83" s="72"/>
      <c r="M83" s="72"/>
      <c r="N83" s="72"/>
    </row>
    <row r="84" customFormat="false" ht="13.05" hidden="false" customHeight="false" outlineLevel="0" collapsed="false">
      <c r="A84" s="89"/>
      <c r="B84" s="79" t="s">
        <v>186</v>
      </c>
      <c r="C84" s="79" t="s">
        <v>187</v>
      </c>
      <c r="D84" s="79" t="s">
        <v>188</v>
      </c>
      <c r="E84" s="119"/>
      <c r="F84" s="130" t="s">
        <v>7</v>
      </c>
      <c r="G84" s="130" t="s">
        <v>7</v>
      </c>
      <c r="H84" s="79" t="s">
        <v>168</v>
      </c>
      <c r="I84" s="79" t="s">
        <v>169</v>
      </c>
      <c r="J84" s="79" t="s">
        <v>168</v>
      </c>
      <c r="K84" s="79" t="s">
        <v>169</v>
      </c>
      <c r="L84" s="72"/>
      <c r="M84" s="72"/>
      <c r="N84" s="72"/>
    </row>
    <row r="85" customFormat="false" ht="12.8" hidden="false" customHeight="false" outlineLevel="0" collapsed="false">
      <c r="A85" s="79" t="n">
        <v>1</v>
      </c>
      <c r="B85" s="87" t="n">
        <f aca="false">7*3.7</f>
        <v>25.9</v>
      </c>
      <c r="C85" s="87" t="n">
        <v>4.2</v>
      </c>
      <c r="D85" s="87" t="n">
        <v>1</v>
      </c>
      <c r="E85" s="119" t="s">
        <v>189</v>
      </c>
      <c r="F85" s="87"/>
      <c r="G85" s="131" t="n">
        <f aca="false">F85 + D85*B85*C85</f>
        <v>108.78</v>
      </c>
      <c r="H85" s="103" t="n">
        <f aca="false">1230*(G85/3600)*($D$9-$E$9)</f>
        <v>453.4313</v>
      </c>
      <c r="I85" s="103" t="n">
        <f aca="false">3010000*G85/3600*($D$11-$E$11)</f>
        <v>737.649220522319</v>
      </c>
      <c r="J85" s="103" t="n">
        <f aca="false">1230*(G85/3600)*($D$15-$E$15)</f>
        <v>271.31545</v>
      </c>
      <c r="K85" s="103" t="n">
        <f aca="false">3010000*G85/3600*($D$17-$E$17)</f>
        <v>1205.89272649799</v>
      </c>
      <c r="L85" s="72"/>
    </row>
    <row r="86" customFormat="false" ht="13.05" hidden="false" customHeight="true" outlineLevel="0" collapsed="false">
      <c r="A86" s="112" t="s">
        <v>190</v>
      </c>
      <c r="B86" s="127" t="s">
        <v>191</v>
      </c>
      <c r="C86" s="127"/>
      <c r="D86" s="127"/>
      <c r="E86" s="127"/>
      <c r="F86" s="127"/>
      <c r="G86" s="127"/>
      <c r="H86" s="114" t="n">
        <f aca="false">SUM(H85:H85)</f>
        <v>453.4313</v>
      </c>
      <c r="I86" s="114" t="n">
        <f aca="false">SUM(I85:I85)</f>
        <v>737.649220522319</v>
      </c>
      <c r="J86" s="114" t="n">
        <f aca="false">SUM(J85:J85)</f>
        <v>271.31545</v>
      </c>
      <c r="K86" s="114" t="n">
        <f aca="false">SUM(K85:K85)</f>
        <v>1205.89272649799</v>
      </c>
      <c r="L86" s="72"/>
    </row>
    <row r="87" customFormat="false" ht="12.8" hidden="false" customHeight="false" outlineLevel="0" collapsed="false">
      <c r="A87" s="132"/>
      <c r="B87" s="115"/>
      <c r="C87" s="115"/>
      <c r="D87" s="115"/>
      <c r="E87" s="115"/>
      <c r="F87" s="133"/>
      <c r="G87" s="133"/>
      <c r="L87" s="72"/>
    </row>
    <row r="88" customFormat="false" ht="13.05" hidden="false" customHeight="true" outlineLevel="0" collapsed="false">
      <c r="A88" s="74" t="s">
        <v>192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2"/>
    </row>
    <row r="89" customFormat="false" ht="12.8" hidden="false" customHeight="false" outlineLevel="0" collapsed="false">
      <c r="A89" s="74"/>
      <c r="B89" s="74"/>
      <c r="C89" s="74"/>
      <c r="D89" s="74"/>
      <c r="E89" s="74"/>
      <c r="F89" s="74"/>
      <c r="G89" s="133"/>
      <c r="L89" s="72"/>
    </row>
    <row r="90" customFormat="false" ht="13.05" hidden="false" customHeight="false" outlineLevel="0" collapsed="false">
      <c r="A90" s="88"/>
      <c r="B90" s="72"/>
      <c r="C90" s="72"/>
      <c r="D90" s="72"/>
      <c r="E90" s="79" t="s">
        <v>97</v>
      </c>
      <c r="F90" s="79" t="s">
        <v>107</v>
      </c>
      <c r="G90" s="72"/>
      <c r="J90" s="79" t="s">
        <v>97</v>
      </c>
      <c r="K90" s="79" t="s">
        <v>107</v>
      </c>
      <c r="L90" s="72"/>
    </row>
    <row r="91" customFormat="false" ht="24.25" hidden="false" customHeight="true" outlineLevel="0" collapsed="false">
      <c r="A91" s="79" t="s">
        <v>193</v>
      </c>
      <c r="B91" s="118" t="s">
        <v>120</v>
      </c>
      <c r="C91" s="118"/>
      <c r="D91" s="118"/>
      <c r="E91" s="79" t="s">
        <v>194</v>
      </c>
      <c r="F91" s="79" t="s">
        <v>194</v>
      </c>
      <c r="G91" s="89"/>
      <c r="H91" s="134"/>
      <c r="I91" s="134"/>
      <c r="J91" s="79"/>
      <c r="K91" s="79"/>
      <c r="L91" s="135"/>
    </row>
    <row r="92" customFormat="false" ht="13.8" hidden="false" customHeight="true" outlineLevel="0" collapsed="false">
      <c r="A92" s="79" t="n">
        <v>1</v>
      </c>
      <c r="B92" s="124" t="s">
        <v>195</v>
      </c>
      <c r="C92" s="124"/>
      <c r="D92" s="124"/>
      <c r="E92" s="103" t="n">
        <f aca="false">I51</f>
        <v>3209.4683075</v>
      </c>
      <c r="F92" s="103" t="n">
        <f aca="false">K51</f>
        <v>1483.7135425</v>
      </c>
      <c r="G92" s="135"/>
      <c r="H92" s="136" t="s">
        <v>196</v>
      </c>
      <c r="I92" s="136"/>
      <c r="J92" s="137" t="n">
        <f aca="false">(E97/E102)</f>
        <v>0.929262276373803</v>
      </c>
      <c r="K92" s="137" t="n">
        <f aca="false">(F97/F102)</f>
        <v>0.878793955951229</v>
      </c>
      <c r="L92" s="72"/>
    </row>
    <row r="93" customFormat="false" ht="13.8" hidden="false" customHeight="true" outlineLevel="0" collapsed="false">
      <c r="A93" s="79" t="n">
        <v>2</v>
      </c>
      <c r="B93" s="124" t="s">
        <v>197</v>
      </c>
      <c r="C93" s="124"/>
      <c r="D93" s="124"/>
      <c r="E93" s="103" t="n">
        <f aca="false">H65</f>
        <v>2840.04</v>
      </c>
      <c r="F93" s="103" t="n">
        <f aca="false">K65</f>
        <v>2976.75</v>
      </c>
      <c r="G93" s="138"/>
      <c r="H93" s="136" t="s">
        <v>198</v>
      </c>
      <c r="I93" s="136"/>
      <c r="J93" s="139" t="n">
        <f aca="false">ROUND($E$107*3600/($B$85*$C$85),0)</f>
        <v>32</v>
      </c>
      <c r="K93" s="139" t="n">
        <f aca="false">ROUND($F$107*3600/($B$85*$C$85),0)</f>
        <v>27</v>
      </c>
      <c r="L93" s="72"/>
    </row>
    <row r="94" customFormat="false" ht="14.9" hidden="false" customHeight="true" outlineLevel="0" collapsed="false">
      <c r="A94" s="79" t="n">
        <v>3</v>
      </c>
      <c r="B94" s="124" t="s">
        <v>199</v>
      </c>
      <c r="C94" s="124"/>
      <c r="D94" s="124"/>
      <c r="E94" s="103" t="n">
        <f aca="false">G70</f>
        <v>120</v>
      </c>
      <c r="F94" s="103" t="n">
        <f aca="false">G70</f>
        <v>120</v>
      </c>
      <c r="G94" s="138"/>
      <c r="H94" s="136" t="s">
        <v>200</v>
      </c>
      <c r="I94" s="136"/>
      <c r="J94" s="139" t="n">
        <f aca="false">$E$9-($I$51+$H$65)/(SUMPRODUCT($G$28:$G$43, $F$28:$F$43) + $F$47*$G$47+ $F$49*$G$49)</f>
        <v>-34.8746321988395</v>
      </c>
      <c r="K94" s="139" t="n">
        <f aca="false">$E$15-($K$51+$K$65)/(SUMPRODUCT($G$28:$G$43, $F$28:$F$43) + $F$47*$G$47+ $F$49*$G$49)</f>
        <v>-19.1471604745821</v>
      </c>
      <c r="L94" s="72"/>
    </row>
    <row r="95" customFormat="false" ht="13.8" hidden="false" customHeight="true" outlineLevel="0" collapsed="false">
      <c r="A95" s="79" t="n">
        <v>4</v>
      </c>
      <c r="B95" s="124" t="s">
        <v>201</v>
      </c>
      <c r="C95" s="124"/>
      <c r="D95" s="124"/>
      <c r="E95" s="103" t="n">
        <f aca="false">H81</f>
        <v>4906.5</v>
      </c>
      <c r="F95" s="103" t="n">
        <f aca="false">H81</f>
        <v>4906.5</v>
      </c>
      <c r="G95" s="138"/>
      <c r="H95" s="136" t="s">
        <v>202</v>
      </c>
      <c r="I95" s="136"/>
      <c r="J95" s="140" t="n">
        <f aca="false">$M$54</f>
        <v>8</v>
      </c>
      <c r="K95" s="140" t="n">
        <f aca="false">$N$54</f>
        <v>8</v>
      </c>
      <c r="L95" s="72"/>
    </row>
    <row r="96" customFormat="false" ht="13.05" hidden="false" customHeight="true" outlineLevel="0" collapsed="false">
      <c r="A96" s="79" t="n">
        <v>5</v>
      </c>
      <c r="B96" s="124" t="s">
        <v>203</v>
      </c>
      <c r="C96" s="124"/>
      <c r="D96" s="124"/>
      <c r="E96" s="103" t="n">
        <f aca="false">H86</f>
        <v>453.4313</v>
      </c>
      <c r="F96" s="103" t="n">
        <f aca="false">J86</f>
        <v>271.31545</v>
      </c>
      <c r="L96" s="72"/>
    </row>
    <row r="97" customFormat="false" ht="13.05" hidden="false" customHeight="true" outlineLevel="0" collapsed="false">
      <c r="A97" s="141" t="s">
        <v>204</v>
      </c>
      <c r="B97" s="142" t="s">
        <v>205</v>
      </c>
      <c r="C97" s="142"/>
      <c r="D97" s="142"/>
      <c r="E97" s="143" t="n">
        <f aca="false">SUM(E92:E96)</f>
        <v>11529.4396075</v>
      </c>
      <c r="F97" s="143" t="n">
        <f aca="false">SUM(F92:F96)</f>
        <v>9758.2789925</v>
      </c>
      <c r="L97" s="72"/>
    </row>
    <row r="98" customFormat="false" ht="13.05" hidden="false" customHeight="true" outlineLevel="0" collapsed="false">
      <c r="A98" s="79" t="n">
        <v>1</v>
      </c>
      <c r="B98" s="124" t="s">
        <v>199</v>
      </c>
      <c r="C98" s="124"/>
      <c r="D98" s="124"/>
      <c r="E98" s="103" t="n">
        <f aca="false">H70</f>
        <v>140</v>
      </c>
      <c r="F98" s="103" t="n">
        <f aca="false">H70</f>
        <v>140</v>
      </c>
      <c r="L98" s="72"/>
    </row>
    <row r="99" customFormat="false" ht="13.05" hidden="false" customHeight="true" outlineLevel="0" collapsed="false">
      <c r="A99" s="79" t="n">
        <v>2</v>
      </c>
      <c r="B99" s="124" t="s">
        <v>206</v>
      </c>
      <c r="C99" s="124"/>
      <c r="D99" s="124"/>
      <c r="E99" s="103" t="n">
        <f aca="false">I81</f>
        <v>0</v>
      </c>
      <c r="F99" s="103" t="n">
        <f aca="false">I81</f>
        <v>0</v>
      </c>
      <c r="L99" s="72"/>
    </row>
    <row r="100" customFormat="false" ht="13.05" hidden="false" customHeight="true" outlineLevel="0" collapsed="false">
      <c r="A100" s="79" t="n">
        <v>3</v>
      </c>
      <c r="B100" s="124" t="s">
        <v>203</v>
      </c>
      <c r="C100" s="124"/>
      <c r="D100" s="124"/>
      <c r="E100" s="103" t="n">
        <f aca="false">I86</f>
        <v>737.649220522319</v>
      </c>
      <c r="F100" s="103" t="n">
        <f aca="false">K86</f>
        <v>1205.89272649799</v>
      </c>
      <c r="L100" s="72"/>
    </row>
    <row r="101" customFormat="false" ht="13.05" hidden="false" customHeight="true" outlineLevel="0" collapsed="false">
      <c r="A101" s="141" t="s">
        <v>207</v>
      </c>
      <c r="B101" s="142" t="s">
        <v>208</v>
      </c>
      <c r="C101" s="142"/>
      <c r="D101" s="142"/>
      <c r="E101" s="143" t="n">
        <f aca="false">SUM(E98:E100)</f>
        <v>877.649220522319</v>
      </c>
      <c r="F101" s="143" t="n">
        <f aca="false">SUM(F98:F100)</f>
        <v>1345.89272649799</v>
      </c>
      <c r="L101" s="72"/>
    </row>
    <row r="102" customFormat="false" ht="13.05" hidden="false" customHeight="true" outlineLevel="0" collapsed="false">
      <c r="A102" s="141" t="s">
        <v>209</v>
      </c>
      <c r="B102" s="142" t="s">
        <v>210</v>
      </c>
      <c r="C102" s="142"/>
      <c r="D102" s="142"/>
      <c r="E102" s="143" t="n">
        <f aca="false">E97+E101</f>
        <v>12407.0888280223</v>
      </c>
      <c r="F102" s="143" t="n">
        <f aca="false">F97+F101</f>
        <v>11104.171718998</v>
      </c>
      <c r="L102" s="72"/>
    </row>
    <row r="103" s="147" customFormat="true" ht="12.8" hidden="false" customHeight="true" outlineLevel="0" collapsed="false">
      <c r="A103" s="79"/>
      <c r="B103" s="124" t="s">
        <v>211</v>
      </c>
      <c r="C103" s="124"/>
      <c r="D103" s="124"/>
      <c r="E103" s="144" t="n">
        <f aca="false">E115</f>
        <v>14.1319123510135</v>
      </c>
      <c r="F103" s="144" t="n">
        <f aca="false">F115</f>
        <v>13.9631440261133</v>
      </c>
      <c r="G103" s="70"/>
      <c r="H103" s="70"/>
      <c r="I103" s="70"/>
      <c r="J103" s="70"/>
      <c r="K103" s="70"/>
      <c r="L103" s="146"/>
    </row>
    <row r="104" customFormat="false" ht="13.05" hidden="false" customHeight="true" outlineLevel="0" collapsed="false">
      <c r="A104" s="79"/>
      <c r="B104" s="124" t="s">
        <v>212</v>
      </c>
      <c r="C104" s="124"/>
      <c r="D104" s="124"/>
      <c r="E104" s="148" t="n">
        <f aca="false">E97/(1230*($E$9-E103))</f>
        <v>0.862481831111566</v>
      </c>
      <c r="F104" s="148" t="n">
        <f aca="false">F97/(1230*($E$15-F103))</f>
        <v>0.718824289750171</v>
      </c>
      <c r="L104" s="72"/>
    </row>
    <row r="105" customFormat="false" ht="13.05" hidden="false" customHeight="true" outlineLevel="0" collapsed="false">
      <c r="A105" s="141" t="s">
        <v>213</v>
      </c>
      <c r="B105" s="142" t="s">
        <v>214</v>
      </c>
      <c r="C105" s="142"/>
      <c r="D105" s="142"/>
      <c r="E105" s="143" t="n">
        <f aca="false">1230*E104*1</f>
        <v>1060.85265226723</v>
      </c>
      <c r="F105" s="143" t="n">
        <f aca="false">1230*F104*1</f>
        <v>884.15387639271</v>
      </c>
      <c r="G105" s="73"/>
      <c r="L105" s="72"/>
    </row>
    <row r="106" s="150" customFormat="true" ht="13.05" hidden="false" customHeight="true" outlineLevel="0" collapsed="false">
      <c r="A106" s="141" t="s">
        <v>215</v>
      </c>
      <c r="B106" s="142" t="s">
        <v>216</v>
      </c>
      <c r="C106" s="142"/>
      <c r="D106" s="142"/>
      <c r="E106" s="149" t="n">
        <f aca="false">E123*1000</f>
        <v>450</v>
      </c>
      <c r="F106" s="149" t="n">
        <f aca="false">F123*1000</f>
        <v>370</v>
      </c>
      <c r="G106" s="73"/>
      <c r="H106" s="70"/>
      <c r="I106" s="70"/>
      <c r="J106" s="70"/>
      <c r="K106" s="70"/>
      <c r="L106" s="73"/>
      <c r="AMJ106" s="71"/>
    </row>
    <row r="107" s="150" customFormat="true" ht="13.05" hidden="false" customHeight="true" outlineLevel="0" collapsed="false">
      <c r="A107" s="79"/>
      <c r="B107" s="82" t="s">
        <v>217</v>
      </c>
      <c r="C107" s="82"/>
      <c r="D107" s="82"/>
      <c r="E107" s="148" t="n">
        <f aca="false">(E97+E105+E106)/(1230*($E$9-E103))</f>
        <v>0.975504059982043</v>
      </c>
      <c r="F107" s="148" t="n">
        <f aca="false">(F97+F105+F106)/(1230*($E$15-F103))</f>
        <v>0.811209050436794</v>
      </c>
      <c r="G107" s="72"/>
      <c r="H107" s="70"/>
      <c r="I107" s="70"/>
      <c r="J107" s="70"/>
      <c r="K107" s="70"/>
      <c r="L107" s="73"/>
      <c r="AMJ107" s="71"/>
    </row>
    <row r="108" customFormat="false" ht="24.25" hidden="false" customHeight="true" outlineLevel="0" collapsed="false">
      <c r="A108" s="79"/>
      <c r="B108" s="124" t="s">
        <v>218</v>
      </c>
      <c r="C108" s="124"/>
      <c r="D108" s="124"/>
      <c r="E108" s="151" t="n">
        <f aca="false">$E$11-E101/(3010000*E107)</f>
        <v>0.00842556065350299</v>
      </c>
      <c r="F108" s="151" t="n">
        <f aca="false">$E$17-F101/(3010000*F107)</f>
        <v>0.00837154136251168</v>
      </c>
      <c r="L108" s="72"/>
    </row>
    <row r="109" customFormat="false" ht="12.8" hidden="false" customHeight="true" outlineLevel="0" collapsed="false">
      <c r="A109" s="79"/>
      <c r="B109" s="124" t="s">
        <v>219</v>
      </c>
      <c r="C109" s="124"/>
      <c r="D109" s="124"/>
      <c r="E109" s="152" t="n">
        <v>0</v>
      </c>
      <c r="F109" s="152" t="n">
        <v>0</v>
      </c>
      <c r="L109" s="72"/>
    </row>
    <row r="110" customFormat="false" ht="12.8" hidden="false" customHeight="true" outlineLevel="0" collapsed="false">
      <c r="A110" s="79"/>
      <c r="B110" s="124" t="s">
        <v>220</v>
      </c>
      <c r="C110" s="124"/>
      <c r="D110" s="124"/>
      <c r="E110" s="152" t="n">
        <v>0.2</v>
      </c>
      <c r="F110" s="152" t="n">
        <v>0.2</v>
      </c>
      <c r="L110" s="72"/>
    </row>
    <row r="111" customFormat="false" ht="13.05" hidden="false" customHeight="true" outlineLevel="0" collapsed="false">
      <c r="A111" s="79"/>
      <c r="B111" s="124" t="s">
        <v>221</v>
      </c>
      <c r="C111" s="124"/>
      <c r="D111" s="124"/>
      <c r="E111" s="153" t="n">
        <f aca="false">E109*($D$9-$E$9)+$E$9</f>
        <v>25</v>
      </c>
      <c r="F111" s="153" t="n">
        <f aca="false">F109*($D$15-$E$15)+$E$15</f>
        <v>25</v>
      </c>
      <c r="L111" s="72"/>
    </row>
    <row r="112" customFormat="false" ht="13.05" hidden="false" customHeight="true" outlineLevel="0" collapsed="false">
      <c r="A112" s="79"/>
      <c r="B112" s="124" t="s">
        <v>222</v>
      </c>
      <c r="C112" s="124"/>
      <c r="D112" s="124"/>
      <c r="E112" s="151" t="n">
        <f aca="false">E109*($D$11-$E$11)+$E$11</f>
        <v>0.00872446028267819</v>
      </c>
      <c r="F112" s="151" t="n">
        <f aca="false">F109*($D$17-$E$17)+$E$17</f>
        <v>0.00892274347092087</v>
      </c>
      <c r="L112" s="72"/>
    </row>
    <row r="113" customFormat="false" ht="14.9" hidden="false" customHeight="true" outlineLevel="0" collapsed="false">
      <c r="A113" s="79"/>
      <c r="B113" s="124" t="s">
        <v>223</v>
      </c>
      <c r="C113" s="124"/>
      <c r="D113" s="124"/>
      <c r="E113" s="151" t="n">
        <f aca="false">(E108-E110*E112)/(1-E110)</f>
        <v>0.00835083574620919</v>
      </c>
      <c r="F113" s="151" t="n">
        <f aca="false">(F108-F110*F112)/(1-F110)</f>
        <v>0.00823374083540938</v>
      </c>
      <c r="L113" s="72"/>
    </row>
    <row r="114" s="147" customFormat="true" ht="14.9" hidden="false" customHeight="true" outlineLevel="0" collapsed="false">
      <c r="A114" s="154"/>
      <c r="B114" s="155" t="s">
        <v>224</v>
      </c>
      <c r="C114" s="155"/>
      <c r="D114" s="155"/>
      <c r="E114" s="156" t="n">
        <f aca="false">1730.63/(8.07131-LOG10(E113*101325/(0.62198+E108)*0.00750062))-233.426</f>
        <v>11.4148904387669</v>
      </c>
      <c r="F114" s="156" t="n">
        <f aca="false">1730.63/(8.07131-LOG10(F113*101325/(0.62198+F108)*0.00750062))-233.426</f>
        <v>11.2039300326416</v>
      </c>
      <c r="L114" s="146"/>
    </row>
    <row r="115" customFormat="false" ht="13.05" hidden="false" customHeight="true" outlineLevel="0" collapsed="false">
      <c r="A115" s="79"/>
      <c r="B115" s="124" t="s">
        <v>225</v>
      </c>
      <c r="C115" s="124"/>
      <c r="D115" s="124"/>
      <c r="E115" s="153" t="n">
        <f aca="false">E114+E110*(E111-E114)</f>
        <v>14.1319123510135</v>
      </c>
      <c r="F115" s="153" t="n">
        <f aca="false">F114+F110*(F111-F114)</f>
        <v>13.9631440261133</v>
      </c>
      <c r="L115" s="72"/>
    </row>
    <row r="116" customFormat="false" ht="13.8" hidden="false" customHeight="true" outlineLevel="0" collapsed="false">
      <c r="A116" s="141" t="s">
        <v>226</v>
      </c>
      <c r="B116" s="157" t="s">
        <v>227</v>
      </c>
      <c r="C116" s="157"/>
      <c r="D116" s="157"/>
      <c r="E116" s="143" t="n">
        <f aca="false">1230*E107*(E111-E115)</f>
        <v>13040.2922597672</v>
      </c>
      <c r="F116" s="143" t="n">
        <f aca="false">1230*F107*(F111-F115)</f>
        <v>11012.4328688927</v>
      </c>
      <c r="G116" s="135"/>
      <c r="H116" s="135"/>
      <c r="I116" s="135"/>
      <c r="J116" s="135"/>
      <c r="K116" s="135"/>
      <c r="L116" s="72"/>
    </row>
    <row r="117" s="150" customFormat="true" ht="13.05" hidden="false" customHeight="true" outlineLevel="0" collapsed="false">
      <c r="A117" s="141" t="s">
        <v>228</v>
      </c>
      <c r="B117" s="157" t="s">
        <v>229</v>
      </c>
      <c r="C117" s="157"/>
      <c r="D117" s="157"/>
      <c r="E117" s="143" t="n">
        <f aca="false">3010000*E107*(E112-E108)</f>
        <v>877.649183380464</v>
      </c>
      <c r="F117" s="143" t="n">
        <f aca="false">3010000*F107*(F112-F108)</f>
        <v>1345.89181827377</v>
      </c>
      <c r="G117" s="74" t="s">
        <v>230</v>
      </c>
      <c r="H117" s="74"/>
      <c r="I117" s="74"/>
      <c r="J117" s="74"/>
      <c r="K117" s="74"/>
      <c r="AMJ117" s="71"/>
    </row>
    <row r="118" s="150" customFormat="true" ht="13.05" hidden="false" customHeight="true" outlineLevel="0" collapsed="false">
      <c r="A118" s="141" t="s">
        <v>231</v>
      </c>
      <c r="B118" s="157" t="s">
        <v>232</v>
      </c>
      <c r="C118" s="157"/>
      <c r="D118" s="157"/>
      <c r="E118" s="143" t="n">
        <f aca="false">E116+E117</f>
        <v>13917.9414431477</v>
      </c>
      <c r="F118" s="143" t="n">
        <f aca="false">F116+F117</f>
        <v>12358.3246871665</v>
      </c>
      <c r="G118" s="70"/>
      <c r="H118" s="105"/>
      <c r="I118" s="70"/>
      <c r="J118" s="70"/>
      <c r="K118" s="70"/>
      <c r="AMJ118" s="71"/>
    </row>
    <row r="119" s="150" customFormat="true" ht="12.8" hidden="false" customHeight="true" outlineLevel="0" collapsed="false">
      <c r="A119" s="141"/>
      <c r="B119" s="157" t="s">
        <v>233</v>
      </c>
      <c r="C119" s="157"/>
      <c r="D119" s="157"/>
      <c r="E119" s="158" t="n">
        <f aca="false">E118/3517</f>
        <v>3.95733336455721</v>
      </c>
      <c r="F119" s="158" t="n">
        <f aca="false">F118/3517</f>
        <v>3.51388248142351</v>
      </c>
      <c r="G119" s="159" t="s">
        <v>204</v>
      </c>
      <c r="H119" s="160" t="s">
        <v>234</v>
      </c>
      <c r="I119" s="160"/>
      <c r="J119" s="161" t="n">
        <f aca="false">MAX(E119:F119)*1.1</f>
        <v>4.35306670101293</v>
      </c>
      <c r="K119" s="150" t="s">
        <v>17</v>
      </c>
      <c r="AMJ119" s="71"/>
    </row>
    <row r="120" customFormat="false" ht="12.8" hidden="false" customHeight="true" outlineLevel="0" collapsed="false">
      <c r="A120" s="162" t="s">
        <v>235</v>
      </c>
      <c r="B120" s="163" t="s">
        <v>236</v>
      </c>
      <c r="C120" s="163"/>
      <c r="D120" s="163"/>
      <c r="E120" s="164" t="n">
        <f aca="false">1230*E107*(E103-E115)/1000</f>
        <v>0</v>
      </c>
      <c r="F120" s="164" t="n">
        <f aca="false">1230*F107*(F103-F115)/1000</f>
        <v>0</v>
      </c>
      <c r="G120" s="159" t="s">
        <v>207</v>
      </c>
      <c r="H120" s="160" t="s">
        <v>237</v>
      </c>
      <c r="I120" s="160"/>
      <c r="J120" s="165" t="n">
        <f aca="false">MAX(E121:F121)*1.1</f>
        <v>3862.99607752889</v>
      </c>
      <c r="K120" s="150" t="s">
        <v>7</v>
      </c>
      <c r="L120" s="72"/>
    </row>
    <row r="121" customFormat="false" ht="24.25" hidden="false" customHeight="true" outlineLevel="0" collapsed="false">
      <c r="A121" s="141" t="s">
        <v>238</v>
      </c>
      <c r="B121" s="157" t="s">
        <v>239</v>
      </c>
      <c r="C121" s="157"/>
      <c r="D121" s="157"/>
      <c r="E121" s="143" t="n">
        <f aca="false">E107*3600</f>
        <v>3511.81461593535</v>
      </c>
      <c r="F121" s="143" t="n">
        <f aca="false">F107*3600</f>
        <v>2920.35258157246</v>
      </c>
      <c r="G121" s="74"/>
      <c r="H121" s="166" t="s">
        <v>240</v>
      </c>
      <c r="I121" s="166"/>
      <c r="J121" s="167"/>
      <c r="K121" s="74"/>
    </row>
    <row r="122" customFormat="false" ht="12.8" hidden="false" customHeight="true" outlineLevel="0" collapsed="false">
      <c r="A122" s="79"/>
      <c r="B122" s="82" t="s">
        <v>241</v>
      </c>
      <c r="C122" s="82"/>
      <c r="D122" s="82"/>
      <c r="E122" s="168" t="n">
        <v>300</v>
      </c>
      <c r="F122" s="168" t="n">
        <v>300</v>
      </c>
      <c r="H122" s="169" t="s">
        <v>242</v>
      </c>
      <c r="I122" s="169"/>
      <c r="J122" s="170" t="n">
        <f aca="false">ROUND((J120/1.7)/J119,0)</f>
        <v>522</v>
      </c>
    </row>
    <row r="123" customFormat="false" ht="13.05" hidden="false" customHeight="true" outlineLevel="0" collapsed="false">
      <c r="A123" s="79"/>
      <c r="B123" s="82" t="s">
        <v>243</v>
      </c>
      <c r="C123" s="82"/>
      <c r="D123" s="82"/>
      <c r="E123" s="148" t="n">
        <f aca="false">ROUNDUP(E107*E122/(0.7*0.95)/1000,2)</f>
        <v>0.45</v>
      </c>
      <c r="F123" s="148" t="n">
        <f aca="false">ROUNDUP(F107*F122/(0.7*0.95)/1000,2)</f>
        <v>0.37</v>
      </c>
      <c r="H123" s="169" t="s">
        <v>244</v>
      </c>
      <c r="I123" s="169"/>
      <c r="J123" s="170" t="n">
        <f aca="false">ROUND(B85/J119,1)</f>
        <v>5.9</v>
      </c>
    </row>
    <row r="124" customFormat="false" ht="13.8" hidden="false" customHeight="false" outlineLevel="0" collapsed="false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</row>
    <row r="125" s="70" customFormat="true" ht="13.8" hidden="false" customHeight="false" outlineLevel="0" collapsed="false">
      <c r="G125" s="135"/>
      <c r="H125" s="135"/>
      <c r="I125" s="135"/>
      <c r="J125" s="135"/>
      <c r="K125" s="135"/>
      <c r="AMJ125" s="71"/>
    </row>
    <row r="126" s="70" customFormat="true" ht="13.8" hidden="false" customHeight="false" outlineLevel="0" collapsed="false">
      <c r="G126" s="135"/>
      <c r="H126" s="135"/>
      <c r="I126" s="135"/>
      <c r="J126" s="135"/>
      <c r="K126" s="135"/>
      <c r="AMJ126" s="71"/>
    </row>
    <row r="127" s="70" customFormat="true" ht="12.8" hidden="false" customHeight="false" outlineLevel="0" collapsed="false">
      <c r="AMJ127" s="71"/>
    </row>
    <row r="128" s="70" customFormat="true" ht="12.8" hidden="false" customHeight="false" outlineLevel="0" collapsed="false">
      <c r="AMJ128" s="71"/>
    </row>
  </sheetData>
  <mergeCells count="108">
    <mergeCell ref="A2:K2"/>
    <mergeCell ref="B4:G4"/>
    <mergeCell ref="B5:G5"/>
    <mergeCell ref="E6:G6"/>
    <mergeCell ref="A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F53:H53"/>
    <mergeCell ref="I53:K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0:F70"/>
    <mergeCell ref="A72:E72"/>
    <mergeCell ref="B81:G81"/>
    <mergeCell ref="H83:I83"/>
    <mergeCell ref="J83:K83"/>
    <mergeCell ref="B86:G86"/>
    <mergeCell ref="A88:K88"/>
    <mergeCell ref="B91:D91"/>
    <mergeCell ref="H91:I91"/>
    <mergeCell ref="B92:D92"/>
    <mergeCell ref="H92:I92"/>
    <mergeCell ref="B93:D93"/>
    <mergeCell ref="H93:I93"/>
    <mergeCell ref="B94:D94"/>
    <mergeCell ref="H94:I94"/>
    <mergeCell ref="B95:D95"/>
    <mergeCell ref="H95:I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G117:K117"/>
    <mergeCell ref="B118:D118"/>
    <mergeCell ref="B119:D119"/>
    <mergeCell ref="H119:I119"/>
    <mergeCell ref="B120:D120"/>
    <mergeCell ref="H120:I120"/>
    <mergeCell ref="B121:D121"/>
    <mergeCell ref="H121:I121"/>
    <mergeCell ref="B122:D122"/>
    <mergeCell ref="H122:I122"/>
    <mergeCell ref="B123:D123"/>
    <mergeCell ref="H123:I12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1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pageBreakPreview" topLeftCell="A22" colorId="64" zoomScale="130" zoomScaleNormal="115" zoomScalePageLayoutView="130" workbookViewId="0">
      <selection pane="topLeft" activeCell="C9" activeCellId="0" sqref="C9"/>
    </sheetView>
  </sheetViews>
  <sheetFormatPr defaultColWidth="11.58984375" defaultRowHeight="13.8" zeroHeight="false" outlineLevelRow="0" outlineLevelCol="0"/>
  <cols>
    <col collapsed="false" customWidth="true" hidden="false" outlineLevel="0" max="1" min="1" style="5" width="5.51"/>
    <col collapsed="false" customWidth="true" hidden="false" outlineLevel="0" max="2" min="2" style="1" width="19.72"/>
    <col collapsed="false" customWidth="true" hidden="false" outlineLevel="0" max="5" min="3" style="5" width="4.7"/>
    <col collapsed="false" customWidth="true" hidden="false" outlineLevel="0" max="6" min="6" style="39" width="6.42"/>
    <col collapsed="false" customWidth="true" hidden="false" outlineLevel="0" max="7" min="7" style="39" width="7.61"/>
    <col collapsed="false" customWidth="false" hidden="false" outlineLevel="0" max="8" min="8" style="5" width="11.57"/>
    <col collapsed="false" customWidth="true" hidden="false" outlineLevel="0" max="9" min="9" style="5" width="7.4"/>
    <col collapsed="false" customWidth="true" hidden="false" outlineLevel="0" max="10" min="10" style="5" width="5.91"/>
    <col collapsed="false" customWidth="true" hidden="false" outlineLevel="0" max="11" min="11" style="5" width="9"/>
    <col collapsed="false" customWidth="true" hidden="false" outlineLevel="0" max="12" min="12" style="5" width="6.21"/>
    <col collapsed="false" customWidth="true" hidden="false" outlineLevel="0" max="13" min="13" style="5" width="7.41"/>
    <col collapsed="false" customWidth="true" hidden="false" outlineLevel="0" max="14" min="14" style="1" width="14.35"/>
    <col collapsed="false" customWidth="false" hidden="false" outlineLevel="0" max="1018" min="15" style="5" width="11.57"/>
    <col collapsed="false" customWidth="true" hidden="false" outlineLevel="0" max="1024" min="1019" style="0" width="9.13"/>
  </cols>
  <sheetData>
    <row r="1" customFormat="false" ht="13.8" hidden="false" customHeight="false" outlineLevel="0" collapsed="false">
      <c r="B1" s="5"/>
      <c r="F1" s="5"/>
      <c r="G1" s="5"/>
    </row>
    <row r="2" customFormat="false" ht="13.8" hidden="false" customHeight="false" outlineLevel="0" collapsed="false">
      <c r="A2" s="55" t="s">
        <v>62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customFormat="false" ht="13.8" hidden="false" customHeight="false" outlineLevel="0" collapsed="false">
      <c r="A3" s="56"/>
    </row>
    <row r="4" customFormat="false" ht="95.25" hidden="false" customHeight="false" outlineLevel="0" collapsed="false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8" t="s">
        <v>63</v>
      </c>
      <c r="G4" s="8" t="s">
        <v>64</v>
      </c>
      <c r="H4" s="7" t="s">
        <v>65</v>
      </c>
      <c r="I4" s="8" t="s">
        <v>11</v>
      </c>
      <c r="J4" s="10" t="s">
        <v>12</v>
      </c>
      <c r="K4" s="7" t="s">
        <v>13</v>
      </c>
      <c r="L4" s="8" t="s">
        <v>66</v>
      </c>
      <c r="M4" s="10" t="s">
        <v>12</v>
      </c>
      <c r="N4" s="21" t="s">
        <v>67</v>
      </c>
    </row>
    <row r="5" customFormat="false" ht="13.8" hidden="false" customHeight="false" outlineLevel="0" collapsed="false">
      <c r="A5" s="57"/>
      <c r="B5" s="12"/>
      <c r="C5" s="57" t="s">
        <v>15</v>
      </c>
      <c r="D5" s="57" t="s">
        <v>15</v>
      </c>
      <c r="E5" s="57" t="s">
        <v>15</v>
      </c>
      <c r="F5" s="58" t="s">
        <v>68</v>
      </c>
      <c r="G5" s="58"/>
      <c r="H5" s="57"/>
      <c r="I5" s="59" t="s">
        <v>19</v>
      </c>
      <c r="J5" s="58" t="s">
        <v>20</v>
      </c>
      <c r="K5" s="57"/>
      <c r="L5" s="59" t="s">
        <v>19</v>
      </c>
      <c r="M5" s="58" t="s">
        <v>20</v>
      </c>
    </row>
    <row r="6" customFormat="false" ht="13.8" hidden="false" customHeight="false" outlineLevel="0" collapsed="false">
      <c r="B6" s="12"/>
      <c r="L6" s="60"/>
    </row>
    <row r="7" customFormat="false" ht="13.8" hidden="false" customHeight="false" outlineLevel="0" collapsed="false">
      <c r="L7" s="60"/>
    </row>
    <row r="8" customFormat="false" ht="16.6" hidden="false" customHeight="false" outlineLevel="0" collapsed="false">
      <c r="A8" s="61" t="s">
        <v>22</v>
      </c>
      <c r="B8" s="21" t="s">
        <v>23</v>
      </c>
      <c r="L8" s="60"/>
    </row>
    <row r="9" customFormat="false" ht="13.8" hidden="false" customHeight="false" outlineLevel="0" collapsed="false">
      <c r="L9" s="60"/>
    </row>
    <row r="10" customFormat="false" ht="16.6" hidden="false" customHeight="false" outlineLevel="0" collapsed="false">
      <c r="A10" s="5" t="n">
        <v>1</v>
      </c>
      <c r="B10" s="1" t="s">
        <v>69</v>
      </c>
      <c r="L10" s="60"/>
    </row>
    <row r="11" customFormat="false" ht="16.6" hidden="false" customHeight="false" outlineLevel="0" collapsed="false">
      <c r="B11" s="1" t="s">
        <v>70</v>
      </c>
      <c r="C11" s="5" t="n">
        <v>4.2</v>
      </c>
      <c r="D11" s="5" t="n">
        <v>1</v>
      </c>
      <c r="K11" s="62" t="n">
        <f aca="false">C11*0.463*3600</f>
        <v>7000.56</v>
      </c>
      <c r="L11" s="60"/>
    </row>
    <row r="12" customFormat="false" ht="16.6" hidden="false" customHeight="false" outlineLevel="0" collapsed="false">
      <c r="C12" s="63"/>
      <c r="D12" s="63"/>
      <c r="E12" s="63"/>
      <c r="F12" s="64"/>
      <c r="G12" s="64"/>
      <c r="H12" s="60"/>
      <c r="I12" s="65"/>
      <c r="J12" s="60"/>
      <c r="K12" s="66" t="n">
        <f aca="false">ROUND(SUM(K10:K11),-2)</f>
        <v>7000</v>
      </c>
      <c r="L12" s="60" t="n">
        <v>400</v>
      </c>
      <c r="M12" s="4" t="n">
        <f aca="false">ROUNDUP($K12*L12/3600/0.6*1.2/746,1)</f>
        <v>2.1</v>
      </c>
      <c r="N12" s="4" t="s">
        <v>71</v>
      </c>
    </row>
    <row r="13" customFormat="false" ht="13.8" hidden="false" customHeight="false" outlineLevel="0" collapsed="false">
      <c r="L13" s="60"/>
    </row>
    <row r="14" customFormat="false" ht="16.6" hidden="false" customHeight="false" outlineLevel="0" collapsed="false">
      <c r="A14" s="64" t="n">
        <v>2</v>
      </c>
      <c r="B14" s="24" t="s">
        <v>72</v>
      </c>
      <c r="C14" s="63"/>
      <c r="D14" s="63"/>
      <c r="E14" s="63"/>
      <c r="F14" s="64"/>
      <c r="G14" s="64"/>
      <c r="H14" s="60"/>
      <c r="I14" s="65"/>
      <c r="J14" s="60"/>
      <c r="K14" s="60"/>
      <c r="L14" s="65"/>
      <c r="N14" s="4"/>
    </row>
    <row r="15" customFormat="false" ht="16.6" hidden="false" customHeight="false" outlineLevel="0" collapsed="false">
      <c r="A15" s="64"/>
      <c r="B15" s="24" t="s">
        <v>73</v>
      </c>
      <c r="C15" s="63" t="n">
        <v>6.1</v>
      </c>
      <c r="D15" s="63" t="n">
        <v>1.2</v>
      </c>
      <c r="K15" s="62" t="n">
        <f aca="false">C15*0.618*3600</f>
        <v>13571.28</v>
      </c>
      <c r="L15" s="65"/>
      <c r="N15" s="4"/>
    </row>
    <row r="16" customFormat="false" ht="32.7" hidden="false" customHeight="false" outlineLevel="0" collapsed="false">
      <c r="A16" s="64"/>
      <c r="B16" s="24" t="s">
        <v>74</v>
      </c>
      <c r="C16" s="63" t="n">
        <v>4.7</v>
      </c>
      <c r="D16" s="63" t="n">
        <v>1</v>
      </c>
      <c r="K16" s="62" t="n">
        <f aca="false">C16*0.463*3600</f>
        <v>7833.96</v>
      </c>
      <c r="L16" s="65"/>
      <c r="N16" s="4"/>
    </row>
    <row r="17" customFormat="false" ht="32.7" hidden="false" customHeight="false" outlineLevel="0" collapsed="false">
      <c r="A17" s="64"/>
      <c r="B17" s="24" t="s">
        <v>75</v>
      </c>
      <c r="C17" s="63" t="n">
        <v>3.6</v>
      </c>
      <c r="D17" s="63" t="n">
        <v>1</v>
      </c>
      <c r="K17" s="62" t="n">
        <f aca="false">C17*0.463*3600</f>
        <v>6000.48</v>
      </c>
      <c r="L17" s="65"/>
      <c r="N17" s="4"/>
    </row>
    <row r="18" customFormat="false" ht="32.7" hidden="false" customHeight="false" outlineLevel="0" collapsed="false">
      <c r="C18" s="63"/>
      <c r="D18" s="63"/>
      <c r="E18" s="63"/>
      <c r="F18" s="64"/>
      <c r="G18" s="64"/>
      <c r="H18" s="66" t="n">
        <f aca="false">K18</f>
        <v>27400</v>
      </c>
      <c r="I18" s="60" t="n">
        <v>600</v>
      </c>
      <c r="J18" s="4" t="n">
        <f aca="false">ROUNDUP($H18*I18/3600/0.6*1.2/746,1)</f>
        <v>12.3</v>
      </c>
      <c r="K18" s="66" t="n">
        <f aca="false">ROUND(SUM(K15:K17),-2)</f>
        <v>27400</v>
      </c>
      <c r="L18" s="60" t="n">
        <v>600</v>
      </c>
      <c r="M18" s="4" t="n">
        <f aca="false">ROUNDUP($K18*L18/3600/0.6*1.2/746,1)</f>
        <v>12.3</v>
      </c>
      <c r="N18" s="4" t="s">
        <v>76</v>
      </c>
    </row>
    <row r="19" customFormat="false" ht="32.7" hidden="false" customHeight="false" outlineLevel="0" collapsed="false">
      <c r="A19" s="64" t="n">
        <v>3</v>
      </c>
      <c r="B19" s="24" t="s">
        <v>77</v>
      </c>
      <c r="C19" s="63" t="n">
        <v>11</v>
      </c>
      <c r="D19" s="63" t="n">
        <v>10</v>
      </c>
      <c r="E19" s="63" t="n">
        <v>4.2</v>
      </c>
      <c r="F19" s="64" t="n">
        <f aca="false">ROUND(C19*D19*E19,2)</f>
        <v>462</v>
      </c>
      <c r="G19" s="64" t="n">
        <v>20</v>
      </c>
      <c r="K19" s="67" t="n">
        <f aca="false">ROUNDUP(G19*F19,-2)</f>
        <v>9300</v>
      </c>
      <c r="L19" s="60" t="n">
        <v>400</v>
      </c>
      <c r="M19" s="4" t="n">
        <f aca="false">ROUNDUP($K19*L19/3600/0.6*1.2/746,1)</f>
        <v>2.8</v>
      </c>
      <c r="N19" s="4" t="s">
        <v>76</v>
      </c>
    </row>
    <row r="20" customFormat="false" ht="32.8" hidden="false" customHeight="false" outlineLevel="0" collapsed="false">
      <c r="A20" s="64" t="n">
        <v>3</v>
      </c>
      <c r="B20" s="24" t="s">
        <v>78</v>
      </c>
      <c r="C20" s="63" t="n">
        <v>7</v>
      </c>
      <c r="D20" s="63" t="n">
        <v>3.5</v>
      </c>
      <c r="E20" s="63" t="n">
        <v>4.2</v>
      </c>
      <c r="F20" s="64" t="n">
        <f aca="false">ROUND(C20*D20*E20,2)</f>
        <v>102.9</v>
      </c>
      <c r="G20" s="64" t="n">
        <v>10</v>
      </c>
      <c r="H20" s="66"/>
      <c r="I20" s="60"/>
      <c r="J20" s="4"/>
      <c r="K20" s="67" t="n">
        <f aca="false">ROUNDUP(G20*F20,-2)</f>
        <v>1100</v>
      </c>
      <c r="L20" s="60" t="n">
        <v>400</v>
      </c>
      <c r="M20" s="4" t="n">
        <f aca="false">ROUNDUP($K20*L20/3600/0.6*1.2/746,1)</f>
        <v>0.4</v>
      </c>
      <c r="N20" s="4" t="s">
        <v>76</v>
      </c>
    </row>
    <row r="21" customFormat="false" ht="13.8" hidden="false" customHeight="false" outlineLevel="0" collapsed="false">
      <c r="A21" s="64"/>
      <c r="B21" s="24"/>
      <c r="C21" s="63"/>
      <c r="D21" s="63"/>
      <c r="E21" s="63"/>
      <c r="F21" s="64"/>
      <c r="G21" s="64"/>
      <c r="L21" s="60"/>
      <c r="N21" s="68"/>
    </row>
    <row r="22" customFormat="false" ht="17.15" hidden="false" customHeight="false" outlineLevel="0" collapsed="false">
      <c r="A22" s="61" t="s">
        <v>22</v>
      </c>
      <c r="B22" s="21" t="s">
        <v>25</v>
      </c>
      <c r="L22" s="60"/>
    </row>
    <row r="24" customFormat="false" ht="79.85" hidden="false" customHeight="false" outlineLevel="0" collapsed="false">
      <c r="A24" s="5" t="n">
        <v>1</v>
      </c>
      <c r="B24" s="1" t="s">
        <v>79</v>
      </c>
      <c r="C24" s="63" t="n">
        <v>10</v>
      </c>
      <c r="D24" s="63" t="n">
        <v>10</v>
      </c>
      <c r="E24" s="63" t="n">
        <v>4.6</v>
      </c>
      <c r="F24" s="64" t="n">
        <f aca="false">ROUND(C24*D24*E24,2)</f>
        <v>460</v>
      </c>
      <c r="G24" s="64" t="n">
        <v>25</v>
      </c>
      <c r="H24" s="66" t="n">
        <f aca="false">ROUND(F24*G24,-2)</f>
        <v>11500</v>
      </c>
      <c r="I24" s="60" t="n">
        <v>900</v>
      </c>
      <c r="J24" s="4" t="n">
        <f aca="false">ROUNDUP($H24*I24/3600/0.6*1.2/746,1)</f>
        <v>7.8</v>
      </c>
      <c r="K24" s="66" t="n">
        <f aca="false">H24*0.9</f>
        <v>10350</v>
      </c>
      <c r="L24" s="60" t="n">
        <v>400</v>
      </c>
      <c r="M24" s="4" t="n">
        <f aca="false">ROUNDUP($K24*L24/3600/0.6*1.2/746,1)</f>
        <v>3.1</v>
      </c>
      <c r="N24" s="4" t="s">
        <v>80</v>
      </c>
    </row>
    <row r="25" customFormat="false" ht="32.8" hidden="false" customHeight="false" outlineLevel="0" collapsed="false">
      <c r="A25" s="64" t="n">
        <v>2</v>
      </c>
      <c r="B25" s="24" t="s">
        <v>81</v>
      </c>
      <c r="C25" s="63" t="n">
        <v>7</v>
      </c>
      <c r="D25" s="63" t="n">
        <v>3.2</v>
      </c>
      <c r="E25" s="63" t="n">
        <v>4.6</v>
      </c>
      <c r="F25" s="64" t="n">
        <f aca="false">ROUND(C25*D25*E25,2)</f>
        <v>103.04</v>
      </c>
      <c r="G25" s="64" t="n">
        <v>10</v>
      </c>
      <c r="H25" s="66"/>
      <c r="I25" s="60"/>
      <c r="J25" s="4"/>
      <c r="K25" s="67" t="n">
        <f aca="false">ROUNDUP(G25*F25,-2)</f>
        <v>1100</v>
      </c>
      <c r="L25" s="60" t="n">
        <v>400</v>
      </c>
      <c r="M25" s="4" t="n">
        <f aca="false">ROUNDUP($K25*L25/3600/0.6*1.2/746,1)</f>
        <v>0.4</v>
      </c>
      <c r="N25" s="4" t="s">
        <v>76</v>
      </c>
    </row>
    <row r="26" customFormat="false" ht="32.8" hidden="false" customHeight="false" outlineLevel="0" collapsed="false">
      <c r="A26" s="64" t="n">
        <v>3</v>
      </c>
      <c r="B26" s="24" t="s">
        <v>82</v>
      </c>
      <c r="C26" s="63" t="n">
        <v>7</v>
      </c>
      <c r="D26" s="63" t="n">
        <v>4</v>
      </c>
      <c r="E26" s="63" t="n">
        <v>4.6</v>
      </c>
      <c r="F26" s="64" t="n">
        <f aca="false">ROUND(C26*D26*E26,2)</f>
        <v>128.8</v>
      </c>
      <c r="G26" s="64" t="n">
        <v>10</v>
      </c>
      <c r="H26" s="66"/>
      <c r="I26" s="60"/>
      <c r="J26" s="4"/>
      <c r="K26" s="67" t="n">
        <f aca="false">ROUNDUP(G26*F26,-2)</f>
        <v>1300</v>
      </c>
      <c r="L26" s="60" t="n">
        <v>400</v>
      </c>
      <c r="M26" s="4" t="n">
        <f aca="false">ROUNDUP($K26*L26/3600/0.6*1.2/746,1)</f>
        <v>0.4</v>
      </c>
      <c r="N26" s="4" t="s">
        <v>76</v>
      </c>
    </row>
    <row r="27" customFormat="false" ht="32.7" hidden="false" customHeight="false" outlineLevel="0" collapsed="false">
      <c r="A27" s="64" t="n">
        <v>4</v>
      </c>
      <c r="B27" s="24" t="s">
        <v>83</v>
      </c>
      <c r="C27" s="63" t="n">
        <v>3.5</v>
      </c>
      <c r="D27" s="63" t="n">
        <v>2.4</v>
      </c>
      <c r="E27" s="63" t="n">
        <v>4.6</v>
      </c>
      <c r="F27" s="64" t="n">
        <f aca="false">ROUND(C27*D27*E27,2)</f>
        <v>38.64</v>
      </c>
      <c r="G27" s="64" t="n">
        <v>10</v>
      </c>
      <c r="H27" s="66"/>
      <c r="I27" s="60"/>
      <c r="J27" s="4"/>
      <c r="K27" s="67" t="n">
        <f aca="false">ROUNDUP(G27*F27,-2)</f>
        <v>400</v>
      </c>
      <c r="L27" s="60" t="n">
        <v>400</v>
      </c>
      <c r="M27" s="4" t="n">
        <f aca="false">ROUNDUP($K27*L27/3600/0.6*1.2/746,1)</f>
        <v>0.2</v>
      </c>
      <c r="N27" s="4" t="s">
        <v>76</v>
      </c>
    </row>
    <row r="29" customFormat="false" ht="17.15" hidden="false" customHeight="false" outlineLevel="0" collapsed="false">
      <c r="A29" s="61" t="s">
        <v>22</v>
      </c>
      <c r="B29" s="21" t="s">
        <v>47</v>
      </c>
      <c r="L29" s="60"/>
    </row>
    <row r="31" customFormat="false" ht="48.2" hidden="false" customHeight="false" outlineLevel="0" collapsed="false">
      <c r="A31" s="64" t="n">
        <v>1</v>
      </c>
      <c r="B31" s="24" t="s">
        <v>84</v>
      </c>
      <c r="C31" s="63" t="n">
        <v>5.6</v>
      </c>
      <c r="D31" s="63" t="n">
        <v>3.2</v>
      </c>
      <c r="E31" s="63" t="n">
        <v>4.2</v>
      </c>
      <c r="F31" s="64" t="n">
        <f aca="false">ROUND(C31*D31*E31,2)</f>
        <v>75.26</v>
      </c>
      <c r="G31" s="64" t="n">
        <v>20</v>
      </c>
      <c r="H31" s="66"/>
      <c r="I31" s="60"/>
      <c r="J31" s="4"/>
      <c r="K31" s="67" t="n">
        <f aca="false">ROUNDUP(G31*F31,-2)</f>
        <v>1600</v>
      </c>
      <c r="L31" s="60" t="n">
        <v>400</v>
      </c>
      <c r="M31" s="4" t="n">
        <f aca="false">ROUNDUP($K31*L31/3600/0.6*1.2/746,1)</f>
        <v>0.5</v>
      </c>
      <c r="N31" s="4" t="s">
        <v>85</v>
      </c>
    </row>
  </sheetData>
  <mergeCells count="1">
    <mergeCell ref="A2:N2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115" zoomScalePageLayoutView="130" workbookViewId="0">
      <selection pane="topLeft" activeCell="B6" activeCellId="0" sqref="B6"/>
    </sheetView>
  </sheetViews>
  <sheetFormatPr defaultColWidth="9.13671875" defaultRowHeight="12.8" zeroHeight="false" outlineLevelRow="0" outlineLevelCol="0"/>
  <cols>
    <col collapsed="false" customWidth="true" hidden="false" outlineLevel="0" max="1" min="1" style="69" width="11.64"/>
    <col collapsed="false" customWidth="true" hidden="false" outlineLevel="0" max="2" min="2" style="69" width="15.8"/>
    <col collapsed="false" customWidth="true" hidden="false" outlineLevel="0" max="3" min="3" style="69" width="9.83"/>
    <col collapsed="false" customWidth="true" hidden="false" outlineLevel="0" max="4" min="4" style="69" width="9.24"/>
    <col collapsed="false" customWidth="true" hidden="false" outlineLevel="0" max="5" min="5" style="70" width="9.51"/>
    <col collapsed="false" customWidth="true" hidden="false" outlineLevel="0" max="6" min="6" style="70" width="8.14"/>
    <col collapsed="false" customWidth="true" hidden="false" outlineLevel="0" max="7" min="7" style="70" width="8.79"/>
    <col collapsed="false" customWidth="true" hidden="false" outlineLevel="0" max="8" min="8" style="70" width="13.55"/>
    <col collapsed="false" customWidth="true" hidden="false" outlineLevel="0" max="9" min="9" style="70" width="8.55"/>
    <col collapsed="false" customWidth="true" hidden="false" outlineLevel="0" max="10" min="10" style="70" width="10.25"/>
    <col collapsed="false" customWidth="false" hidden="false" outlineLevel="0" max="12" min="11" style="70" width="9.13"/>
    <col collapsed="false" customWidth="true" hidden="false" outlineLevel="0" max="13" min="13" style="70" width="11.94"/>
    <col collapsed="false" customWidth="false" hidden="false" outlineLevel="0" max="1023" min="14" style="70" width="9.13"/>
    <col collapsed="false" customWidth="false" hidden="false" outlineLevel="0" max="1024" min="1024" style="71" width="9.13"/>
  </cols>
  <sheetData>
    <row r="1" customFormat="false" ht="12.8" hidden="false" customHeight="false" outlineLevel="0" collapsed="false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3.05" hidden="false" customHeight="true" outlineLevel="0" collapsed="false">
      <c r="A2" s="74" t="s">
        <v>86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customFormat="false" ht="12.8" hidden="false" customHeight="false" outlineLevel="0" collapsed="false">
      <c r="A3" s="72"/>
      <c r="B3" s="72"/>
      <c r="C3" s="72"/>
      <c r="D3" s="72"/>
      <c r="E3" s="72"/>
      <c r="F3" s="72"/>
      <c r="G3" s="76"/>
      <c r="H3" s="72"/>
      <c r="I3" s="72"/>
      <c r="J3" s="72"/>
      <c r="K3" s="72"/>
    </row>
    <row r="4" customFormat="false" ht="13.05" hidden="false" customHeight="false" outlineLevel="0" collapsed="false">
      <c r="A4" s="77" t="s">
        <v>87</v>
      </c>
      <c r="B4" s="77"/>
      <c r="C4" s="77"/>
      <c r="D4" s="77"/>
      <c r="E4" s="77"/>
      <c r="F4" s="77"/>
      <c r="G4" s="77"/>
      <c r="H4" s="78" t="s">
        <v>88</v>
      </c>
      <c r="I4" s="79"/>
      <c r="J4" s="80" t="s">
        <v>89</v>
      </c>
      <c r="K4" s="81"/>
    </row>
    <row r="5" customFormat="false" ht="12.8" hidden="false" customHeight="true" outlineLevel="0" collapsed="false">
      <c r="A5" s="82" t="s">
        <v>90</v>
      </c>
      <c r="B5" s="83" t="s">
        <v>91</v>
      </c>
      <c r="C5" s="83"/>
      <c r="D5" s="83"/>
      <c r="E5" s="83"/>
      <c r="F5" s="83"/>
      <c r="G5" s="83"/>
      <c r="H5" s="84" t="s">
        <v>92</v>
      </c>
      <c r="I5" s="79"/>
      <c r="J5" s="80" t="s">
        <v>89</v>
      </c>
      <c r="K5" s="85"/>
      <c r="L5" s="86"/>
    </row>
    <row r="6" customFormat="false" ht="13.05" hidden="false" customHeight="false" outlineLevel="0" collapsed="false">
      <c r="A6" s="80" t="s">
        <v>93</v>
      </c>
      <c r="B6" s="87" t="n">
        <v>1</v>
      </c>
      <c r="C6" s="79" t="s">
        <v>94</v>
      </c>
      <c r="D6" s="87" t="n">
        <v>1</v>
      </c>
      <c r="E6" s="80"/>
      <c r="F6" s="80"/>
      <c r="G6" s="80"/>
      <c r="H6" s="84" t="s">
        <v>95</v>
      </c>
      <c r="I6" s="79"/>
      <c r="J6" s="80" t="s">
        <v>89</v>
      </c>
      <c r="K6" s="81"/>
      <c r="L6" s="72"/>
    </row>
    <row r="7" customFormat="false" ht="13.05" hidden="false" customHeight="true" outlineLevel="0" collapsed="false">
      <c r="A7" s="88" t="s">
        <v>96</v>
      </c>
      <c r="B7" s="88"/>
      <c r="C7" s="88"/>
      <c r="D7" s="88"/>
      <c r="E7" s="88"/>
      <c r="F7" s="72"/>
      <c r="G7" s="72"/>
      <c r="H7" s="72"/>
      <c r="I7" s="89"/>
      <c r="J7" s="72"/>
      <c r="K7" s="90"/>
      <c r="L7" s="72"/>
    </row>
    <row r="8" customFormat="false" ht="13.05" hidden="false" customHeight="true" outlineLevel="0" collapsed="false">
      <c r="A8" s="91" t="s">
        <v>97</v>
      </c>
      <c r="B8" s="91"/>
      <c r="C8" s="80"/>
      <c r="D8" s="92" t="s">
        <v>98</v>
      </c>
      <c r="E8" s="92" t="s">
        <v>99</v>
      </c>
      <c r="F8" s="92" t="s">
        <v>100</v>
      </c>
      <c r="G8" s="72"/>
      <c r="H8" s="93" t="s">
        <v>101</v>
      </c>
      <c r="I8" s="89"/>
      <c r="J8" s="72"/>
      <c r="K8" s="90"/>
      <c r="L8" s="72"/>
    </row>
    <row r="9" customFormat="false" ht="12.8" hidden="false" customHeight="true" outlineLevel="0" collapsed="false">
      <c r="A9" s="82" t="s">
        <v>102</v>
      </c>
      <c r="B9" s="82"/>
      <c r="C9" s="80"/>
      <c r="D9" s="94" t="n">
        <v>37.2</v>
      </c>
      <c r="E9" s="87" t="n">
        <v>22</v>
      </c>
      <c r="F9" s="80"/>
      <c r="G9" s="72"/>
      <c r="H9" s="95" t="s">
        <v>103</v>
      </c>
      <c r="I9" s="89"/>
      <c r="J9" s="72"/>
      <c r="K9" s="90"/>
      <c r="L9" s="72"/>
    </row>
    <row r="10" customFormat="false" ht="12.8" hidden="false" customHeight="true" outlineLevel="0" collapsed="false">
      <c r="A10" s="82" t="s">
        <v>104</v>
      </c>
      <c r="B10" s="82"/>
      <c r="C10" s="80"/>
      <c r="D10" s="94" t="n">
        <v>41</v>
      </c>
      <c r="E10" s="87" t="n">
        <v>55</v>
      </c>
      <c r="F10" s="80"/>
      <c r="G10" s="72"/>
      <c r="H10" s="96"/>
      <c r="I10" s="89"/>
      <c r="J10" s="72"/>
      <c r="K10" s="90"/>
      <c r="L10" s="72"/>
    </row>
    <row r="11" customFormat="false" ht="13.05" hidden="false" customHeight="true" outlineLevel="0" collapsed="false">
      <c r="A11" s="82" t="s">
        <v>105</v>
      </c>
      <c r="B11" s="82"/>
      <c r="C11" s="80"/>
      <c r="D11" s="97" t="n">
        <f aca="false">0.62198/(101325/(EXP(77.345+0.0057*(273+D9)- 7235/(273+D9))/(273+D9)^8.2)-1)*D10/100</f>
        <v>0.016834758778653</v>
      </c>
      <c r="E11" s="97" t="n">
        <f aca="false">0.62198/(101325/(EXP(77.345+0.0057*(273+E9)- 7235/(273+E9))/(273+E9)^8.2)-1)*E10/100</f>
        <v>0.00905192587379301</v>
      </c>
      <c r="F11" s="80"/>
      <c r="G11" s="72"/>
      <c r="H11" s="72"/>
      <c r="I11" s="89"/>
      <c r="J11" s="72"/>
      <c r="K11" s="90"/>
      <c r="L11" s="72"/>
    </row>
    <row r="12" customFormat="false" ht="13.05" hidden="false" customHeight="true" outlineLevel="0" collapsed="false">
      <c r="A12" s="82" t="s">
        <v>106</v>
      </c>
      <c r="B12" s="82"/>
      <c r="C12" s="80"/>
      <c r="D12" s="79"/>
      <c r="E12" s="79"/>
      <c r="F12" s="87" t="n">
        <v>10.5</v>
      </c>
      <c r="G12" s="72"/>
      <c r="H12" s="72"/>
      <c r="I12" s="89"/>
      <c r="J12" s="72"/>
      <c r="K12" s="90"/>
      <c r="L12" s="72"/>
    </row>
    <row r="13" customFormat="false" ht="12.8" hidden="false" customHeight="false" outlineLevel="0" collapsed="false">
      <c r="A13" s="82"/>
      <c r="B13" s="82"/>
      <c r="C13" s="80"/>
      <c r="D13" s="79"/>
      <c r="E13" s="79"/>
      <c r="F13" s="79"/>
      <c r="G13" s="72"/>
      <c r="H13" s="72"/>
      <c r="I13" s="89"/>
      <c r="J13" s="72"/>
      <c r="K13" s="90"/>
      <c r="L13" s="72"/>
    </row>
    <row r="14" customFormat="false" ht="13.05" hidden="false" customHeight="true" outlineLevel="0" collapsed="false">
      <c r="A14" s="91" t="s">
        <v>107</v>
      </c>
      <c r="B14" s="91"/>
      <c r="C14" s="80"/>
      <c r="D14" s="98"/>
      <c r="E14" s="98"/>
      <c r="F14" s="80"/>
      <c r="G14" s="72"/>
      <c r="H14" s="72"/>
      <c r="I14" s="89"/>
      <c r="J14" s="72"/>
      <c r="K14" s="90"/>
      <c r="L14" s="72"/>
    </row>
    <row r="15" customFormat="false" ht="12.8" hidden="false" customHeight="true" outlineLevel="0" collapsed="false">
      <c r="A15" s="82" t="s">
        <v>102</v>
      </c>
      <c r="B15" s="82"/>
      <c r="C15" s="80"/>
      <c r="D15" s="94" t="n">
        <v>32.3</v>
      </c>
      <c r="E15" s="87" t="n">
        <v>22</v>
      </c>
      <c r="F15" s="80"/>
      <c r="G15" s="72"/>
      <c r="H15" s="72"/>
      <c r="I15" s="89"/>
      <c r="J15" s="72"/>
      <c r="K15" s="90"/>
      <c r="L15" s="72"/>
    </row>
    <row r="16" customFormat="false" ht="12.8" hidden="false" customHeight="true" outlineLevel="0" collapsed="false">
      <c r="A16" s="82" t="s">
        <v>104</v>
      </c>
      <c r="B16" s="82"/>
      <c r="C16" s="80"/>
      <c r="D16" s="94" t="n">
        <v>72</v>
      </c>
      <c r="E16" s="87" t="n">
        <v>60</v>
      </c>
      <c r="F16" s="80"/>
      <c r="G16" s="72"/>
      <c r="H16" s="72"/>
      <c r="I16" s="89"/>
      <c r="J16" s="72"/>
      <c r="K16" s="90"/>
      <c r="L16" s="72"/>
    </row>
    <row r="17" customFormat="false" ht="13.05" hidden="false" customHeight="true" outlineLevel="0" collapsed="false">
      <c r="A17" s="82" t="s">
        <v>105</v>
      </c>
      <c r="B17" s="82"/>
      <c r="C17" s="80"/>
      <c r="D17" s="97" t="n">
        <f aca="false">0.62198/(101325/(EXP(77.345+0.0057*(273+D15)- 7235/(273+D15))/(273+D15)^8.2)-1)*D16/100</f>
        <v>0.0221812811253068</v>
      </c>
      <c r="E17" s="97" t="n">
        <f aca="false">0.62198/(101325/(EXP(77.345+0.0057*(273+E15)- 7235/(273+E15))/(273+E15)^8.2)-1)*E16/100</f>
        <v>0.00987482822595601</v>
      </c>
      <c r="F17" s="80"/>
      <c r="G17" s="72"/>
      <c r="H17" s="72"/>
      <c r="I17" s="89"/>
      <c r="J17" s="72"/>
      <c r="K17" s="90"/>
      <c r="L17" s="72"/>
    </row>
    <row r="18" customFormat="false" ht="13.05" hidden="false" customHeight="true" outlineLevel="0" collapsed="false">
      <c r="A18" s="82" t="s">
        <v>106</v>
      </c>
      <c r="B18" s="82"/>
      <c r="C18" s="80"/>
      <c r="D18" s="79"/>
      <c r="E18" s="79"/>
      <c r="F18" s="87" t="n">
        <v>10.5</v>
      </c>
      <c r="G18" s="72"/>
      <c r="H18" s="72"/>
      <c r="I18" s="89"/>
      <c r="J18" s="72"/>
      <c r="K18" s="90"/>
      <c r="L18" s="72"/>
    </row>
    <row r="19" customFormat="false" ht="12.8" hidden="false" customHeight="false" outlineLevel="0" collapsed="false">
      <c r="A19" s="82"/>
      <c r="B19" s="82"/>
      <c r="C19" s="80"/>
      <c r="D19" s="80"/>
      <c r="E19" s="80"/>
      <c r="F19" s="80"/>
      <c r="G19" s="72"/>
      <c r="H19" s="72"/>
      <c r="I19" s="89"/>
      <c r="J19" s="72"/>
      <c r="K19" s="90"/>
      <c r="L19" s="72"/>
    </row>
    <row r="20" customFormat="false" ht="13.05" hidden="false" customHeight="false" outlineLevel="0" collapsed="false">
      <c r="A20" s="80" t="s">
        <v>108</v>
      </c>
      <c r="B20" s="80"/>
      <c r="C20" s="80"/>
      <c r="D20" s="99" t="s">
        <v>109</v>
      </c>
      <c r="E20" s="79"/>
      <c r="F20" s="80"/>
      <c r="G20" s="72"/>
      <c r="H20" s="72"/>
      <c r="I20" s="89"/>
      <c r="J20" s="72"/>
      <c r="K20" s="90"/>
      <c r="L20" s="72"/>
    </row>
    <row r="21" customFormat="false" ht="13.05" hidden="false" customHeight="false" outlineLevel="0" collapsed="false">
      <c r="A21" s="80"/>
      <c r="B21" s="80" t="s">
        <v>110</v>
      </c>
      <c r="C21" s="87" t="s">
        <v>111</v>
      </c>
      <c r="D21" s="100" t="s">
        <v>112</v>
      </c>
      <c r="E21" s="100" t="s">
        <v>113</v>
      </c>
      <c r="F21" s="80"/>
      <c r="G21" s="72"/>
      <c r="H21" s="72"/>
      <c r="I21" s="89"/>
      <c r="J21" s="72"/>
      <c r="K21" s="90"/>
      <c r="L21" s="72"/>
    </row>
    <row r="22" customFormat="false" ht="13.05" hidden="false" customHeight="false" outlineLevel="0" collapsed="false">
      <c r="A22" s="80"/>
      <c r="B22" s="80" t="s">
        <v>114</v>
      </c>
      <c r="C22" s="100" t="s">
        <v>111</v>
      </c>
      <c r="D22" s="87" t="s">
        <v>112</v>
      </c>
      <c r="E22" s="100" t="s">
        <v>113</v>
      </c>
      <c r="F22" s="80"/>
      <c r="G22" s="72"/>
      <c r="H22" s="72"/>
      <c r="I22" s="89"/>
      <c r="J22" s="72"/>
      <c r="K22" s="90"/>
      <c r="L22" s="72"/>
    </row>
    <row r="23" customFormat="false" ht="13.05" hidden="false" customHeight="false" outlineLevel="0" collapsed="false">
      <c r="A23" s="80"/>
      <c r="B23" s="80" t="s">
        <v>115</v>
      </c>
      <c r="C23" s="100" t="s">
        <v>116</v>
      </c>
      <c r="D23" s="87" t="s">
        <v>117</v>
      </c>
      <c r="E23" s="100" t="s">
        <v>118</v>
      </c>
      <c r="F23" s="80"/>
      <c r="G23" s="72"/>
      <c r="H23" s="72"/>
      <c r="I23" s="89"/>
      <c r="J23" s="72"/>
      <c r="K23" s="90"/>
      <c r="L23" s="72"/>
    </row>
    <row r="24" customFormat="false" ht="12.8" hidden="false" customHeight="false" outlineLevel="0" collapsed="false">
      <c r="A24" s="72"/>
      <c r="B24" s="72"/>
      <c r="C24" s="89"/>
      <c r="D24" s="72"/>
      <c r="E24" s="72"/>
      <c r="F24" s="72"/>
      <c r="G24" s="72"/>
      <c r="H24" s="72"/>
      <c r="I24" s="89"/>
      <c r="J24" s="72"/>
      <c r="K24" s="90"/>
      <c r="L24" s="72"/>
    </row>
    <row r="25" customFormat="false" ht="12.8" hidden="false" customHeight="false" outlineLevel="0" collapsed="false">
      <c r="A25" s="101" t="s">
        <v>119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88"/>
      <c r="M25" s="72"/>
    </row>
    <row r="26" customFormat="false" ht="13.05" hidden="false" customHeight="true" outlineLevel="0" collapsed="false">
      <c r="A26" s="79" t="s">
        <v>120</v>
      </c>
      <c r="B26" s="79" t="s">
        <v>121</v>
      </c>
      <c r="C26" s="79"/>
      <c r="D26" s="79"/>
      <c r="E26" s="79"/>
      <c r="F26" s="79" t="s">
        <v>122</v>
      </c>
      <c r="G26" s="79" t="s">
        <v>123</v>
      </c>
      <c r="H26" s="79" t="s">
        <v>97</v>
      </c>
      <c r="I26" s="79" t="s">
        <v>124</v>
      </c>
      <c r="J26" s="79" t="s">
        <v>107</v>
      </c>
      <c r="K26" s="79" t="s">
        <v>124</v>
      </c>
      <c r="L26" s="72"/>
      <c r="M26" s="69"/>
    </row>
    <row r="27" customFormat="false" ht="24.25" hidden="false" customHeight="false" outlineLevel="0" collapsed="false">
      <c r="A27" s="79" t="s">
        <v>125</v>
      </c>
      <c r="B27" s="79"/>
      <c r="C27" s="79"/>
      <c r="D27" s="79"/>
      <c r="E27" s="79"/>
      <c r="F27" s="79" t="s">
        <v>126</v>
      </c>
      <c r="G27" s="79" t="s">
        <v>127</v>
      </c>
      <c r="H27" s="79" t="s">
        <v>128</v>
      </c>
      <c r="I27" s="79" t="s">
        <v>129</v>
      </c>
      <c r="J27" s="79" t="s">
        <v>128</v>
      </c>
      <c r="K27" s="79" t="s">
        <v>129</v>
      </c>
      <c r="L27" s="72"/>
    </row>
    <row r="28" customFormat="false" ht="12.8" hidden="false" customHeight="true" outlineLevel="0" collapsed="false">
      <c r="A28" s="79" t="n">
        <v>1</v>
      </c>
      <c r="B28" s="80" t="s">
        <v>130</v>
      </c>
      <c r="C28" s="80"/>
      <c r="D28" s="80"/>
      <c r="E28" s="80"/>
      <c r="F28" s="87" t="n">
        <f aca="false">6.8*4.2</f>
        <v>28.56</v>
      </c>
      <c r="G28" s="87" t="n">
        <v>2.28</v>
      </c>
      <c r="H28" s="102" t="n">
        <f aca="false">VALUES!$F46+(25.6-$E$9)+($D$9-0.5*$F$12-29.4)</f>
        <v>15.45</v>
      </c>
      <c r="I28" s="103" t="n">
        <f aca="false">F28*G28*H28</f>
        <v>1006.05456</v>
      </c>
      <c r="J28" s="102" t="n">
        <f aca="false">VALUES!$I46+(25.6-$E$15)+($D$15-0.5*$F$18-29.4)</f>
        <v>5.95</v>
      </c>
      <c r="K28" s="103" t="n">
        <f aca="false">F28*G28*J28</f>
        <v>387.44496</v>
      </c>
      <c r="L28" s="72"/>
    </row>
    <row r="29" customFormat="false" ht="13.05" hidden="false" customHeight="true" outlineLevel="0" collapsed="false">
      <c r="A29" s="79" t="n">
        <v>2</v>
      </c>
      <c r="B29" s="80" t="s">
        <v>131</v>
      </c>
      <c r="C29" s="80"/>
      <c r="D29" s="80"/>
      <c r="E29" s="80"/>
      <c r="F29" s="87"/>
      <c r="G29" s="87" t="n">
        <v>2.28</v>
      </c>
      <c r="H29" s="102" t="n">
        <f aca="false">VALUES!$F47+(25.6-$E$9)+($D$9-0.5*$F$12-29.4)</f>
        <v>15.85</v>
      </c>
      <c r="I29" s="103" t="n">
        <f aca="false">F29*G29*H29</f>
        <v>0</v>
      </c>
      <c r="J29" s="102" t="n">
        <f aca="false">VALUES!$I47+(25.6-$E$15)+($D$15-0.5*$F$18-29.4)</f>
        <v>7.05</v>
      </c>
      <c r="K29" s="103" t="n">
        <f aca="false">F29*G29*J29</f>
        <v>0</v>
      </c>
      <c r="L29" s="72"/>
    </row>
    <row r="30" customFormat="false" ht="13.05" hidden="false" customHeight="true" outlineLevel="0" collapsed="false">
      <c r="A30" s="79" t="n">
        <v>3</v>
      </c>
      <c r="B30" s="80" t="s">
        <v>132</v>
      </c>
      <c r="C30" s="80"/>
      <c r="D30" s="80"/>
      <c r="E30" s="80"/>
      <c r="F30" s="87"/>
      <c r="G30" s="87" t="n">
        <v>2.28</v>
      </c>
      <c r="H30" s="102" t="n">
        <f aca="false">VALUES!$F48+(25.6-$E$9)+($D$9-0.5*$F$12-29.4)</f>
        <v>15.85</v>
      </c>
      <c r="I30" s="103" t="n">
        <f aca="false">F30*G30*H30</f>
        <v>0</v>
      </c>
      <c r="J30" s="102" t="n">
        <f aca="false">VALUES!$I48+(25.6-$E$15)+($D$15-0.5*$F$18-29.4)</f>
        <v>10.95</v>
      </c>
      <c r="K30" s="103" t="n">
        <f aca="false">F30*G30*J30</f>
        <v>0</v>
      </c>
      <c r="L30" s="72"/>
    </row>
    <row r="31" customFormat="false" ht="13.05" hidden="false" customHeight="true" outlineLevel="0" collapsed="false">
      <c r="A31" s="79" t="n">
        <v>4</v>
      </c>
      <c r="B31" s="80" t="s">
        <v>133</v>
      </c>
      <c r="C31" s="80"/>
      <c r="D31" s="80"/>
      <c r="E31" s="80"/>
      <c r="F31" s="87"/>
      <c r="G31" s="87" t="n">
        <v>2.28</v>
      </c>
      <c r="H31" s="102" t="n">
        <f aca="false">VALUES!$F49+(25.6-$E$9)+($D$9-0.5*$F$12-29.4)</f>
        <v>13.15</v>
      </c>
      <c r="I31" s="103" t="n">
        <f aca="false">F31*G31*H31</f>
        <v>0</v>
      </c>
      <c r="J31" s="102" t="n">
        <f aca="false">VALUES!$I49+(25.6-$E$15)+($D$15-0.5*$F$18-29.4)</f>
        <v>12.55</v>
      </c>
      <c r="K31" s="103" t="n">
        <f aca="false">F31*G31*J31</f>
        <v>0</v>
      </c>
      <c r="L31" s="72"/>
    </row>
    <row r="32" customFormat="false" ht="13.05" hidden="false" customHeight="true" outlineLevel="0" collapsed="false">
      <c r="A32" s="79" t="n">
        <v>5</v>
      </c>
      <c r="B32" s="80" t="s">
        <v>134</v>
      </c>
      <c r="C32" s="80"/>
      <c r="D32" s="80"/>
      <c r="E32" s="80"/>
      <c r="F32" s="87"/>
      <c r="G32" s="87" t="n">
        <v>2.28</v>
      </c>
      <c r="H32" s="102" t="n">
        <f aca="false">VALUES!$F50+(25.6-$E$9)+($D$9-0.5*$F$12-29.4)</f>
        <v>11.95</v>
      </c>
      <c r="I32" s="103" t="n">
        <f aca="false">F32*G32*H32</f>
        <v>0</v>
      </c>
      <c r="J32" s="102" t="n">
        <f aca="false">VALUES!$I50+(25.6-$E$15)+($D$15-0.5*$F$18-29.4)</f>
        <v>13.65</v>
      </c>
      <c r="K32" s="103" t="n">
        <f aca="false">F32*G32*J32</f>
        <v>0</v>
      </c>
      <c r="L32" s="72"/>
    </row>
    <row r="33" customFormat="false" ht="13.05" hidden="false" customHeight="true" outlineLevel="0" collapsed="false">
      <c r="A33" s="79" t="n">
        <v>6</v>
      </c>
      <c r="B33" s="80" t="s">
        <v>135</v>
      </c>
      <c r="C33" s="80"/>
      <c r="D33" s="80"/>
      <c r="E33" s="80"/>
      <c r="F33" s="87"/>
      <c r="G33" s="87" t="n">
        <v>2.28</v>
      </c>
      <c r="H33" s="102" t="n">
        <f aca="false">VALUES!$F51+(25.6-$E$9)+($D$9-0.5*$F$12-29.4)</f>
        <v>13.95</v>
      </c>
      <c r="I33" s="103" t="n">
        <f aca="false">F33*G33*H33</f>
        <v>0</v>
      </c>
      <c r="J33" s="102" t="n">
        <f aca="false">VALUES!$I51+(25.6-$E$15)+($D$15-0.5*$F$18-29.4)</f>
        <v>13.35</v>
      </c>
      <c r="K33" s="103" t="n">
        <f aca="false">F33*G33*J33</f>
        <v>0</v>
      </c>
      <c r="L33" s="72"/>
    </row>
    <row r="34" customFormat="false" ht="23.85" hidden="false" customHeight="true" outlineLevel="0" collapsed="false">
      <c r="A34" s="79" t="n">
        <v>7</v>
      </c>
      <c r="B34" s="80" t="s">
        <v>136</v>
      </c>
      <c r="C34" s="80"/>
      <c r="D34" s="80"/>
      <c r="E34" s="80"/>
      <c r="F34" s="87"/>
      <c r="G34" s="87" t="n">
        <v>2.28</v>
      </c>
      <c r="H34" s="102" t="n">
        <f aca="false">VALUES!$F52+(25.6-$E$9)+($D$9-0.5*$F$12-29.4)</f>
        <v>17.05</v>
      </c>
      <c r="I34" s="103" t="n">
        <f aca="false">F34*G34*H34</f>
        <v>0</v>
      </c>
      <c r="J34" s="102" t="n">
        <f aca="false">VALUES!$I52+(25.6-$E$15)+($D$15-0.5*$F$18-29.4)</f>
        <v>12.15</v>
      </c>
      <c r="K34" s="103" t="n">
        <f aca="false">F34*G34*J34</f>
        <v>0</v>
      </c>
      <c r="L34" s="72"/>
      <c r="M34" s="104" t="s">
        <v>137</v>
      </c>
      <c r="N34" s="104" t="s">
        <v>138</v>
      </c>
    </row>
    <row r="35" customFormat="false" ht="13.05" hidden="false" customHeight="true" outlineLevel="0" collapsed="false">
      <c r="A35" s="79" t="n">
        <v>8</v>
      </c>
      <c r="B35" s="80" t="s">
        <v>139</v>
      </c>
      <c r="C35" s="80"/>
      <c r="D35" s="80"/>
      <c r="E35" s="80"/>
      <c r="F35" s="87"/>
      <c r="G35" s="87" t="n">
        <v>2.28</v>
      </c>
      <c r="H35" s="102" t="n">
        <f aca="false">VALUES!$F53+(25.6-$E$9)+($D$9-0.5*$F$12-29.4)</f>
        <v>16.65</v>
      </c>
      <c r="I35" s="103" t="n">
        <f aca="false">F35*G35*H35</f>
        <v>0</v>
      </c>
      <c r="J35" s="102" t="n">
        <f aca="false">VALUES!$I53+(25.6-$E$15)+($D$15-0.5*$F$18-29.4)</f>
        <v>7.85</v>
      </c>
      <c r="K35" s="103" t="n">
        <f aca="false">F35*G35*J35</f>
        <v>0</v>
      </c>
      <c r="L35" s="72"/>
      <c r="M35" s="105"/>
      <c r="N35" s="105"/>
      <c r="O35" s="104" t="n">
        <f aca="false">VALUES!$C$21</f>
        <v>6</v>
      </c>
      <c r="P35" s="104" t="n">
        <f aca="false">VALUES!$D$21</f>
        <v>7</v>
      </c>
      <c r="Q35" s="104" t="n">
        <f aca="false">VALUES!$E$21</f>
        <v>8</v>
      </c>
      <c r="R35" s="104" t="n">
        <f aca="false">VALUES!$F$21</f>
        <v>9</v>
      </c>
      <c r="S35" s="104" t="n">
        <f aca="false">VALUES!$G$21</f>
        <v>10</v>
      </c>
      <c r="T35" s="104" t="n">
        <f aca="false">VALUES!$H$21</f>
        <v>11</v>
      </c>
      <c r="U35" s="104" t="n">
        <f aca="false">VALUES!$I$21</f>
        <v>12</v>
      </c>
      <c r="V35" s="104" t="n">
        <f aca="false">VALUES!$J$21</f>
        <v>13</v>
      </c>
      <c r="W35" s="104" t="n">
        <f aca="false">VALUES!$K$21</f>
        <v>14</v>
      </c>
      <c r="X35" s="104" t="n">
        <f aca="false">VALUES!$L$21</f>
        <v>15</v>
      </c>
      <c r="Y35" s="104" t="n">
        <f aca="false">VALUES!$M$21</f>
        <v>16</v>
      </c>
      <c r="Z35" s="104" t="n">
        <f aca="false">VALUES!$N$21</f>
        <v>17</v>
      </c>
      <c r="AA35" s="104" t="n">
        <f aca="false">VALUES!$O$21</f>
        <v>18</v>
      </c>
    </row>
    <row r="36" customFormat="false" ht="13.05" hidden="false" customHeight="true" outlineLevel="0" collapsed="false">
      <c r="A36" s="79" t="n">
        <v>9</v>
      </c>
      <c r="B36" s="80" t="s">
        <v>140</v>
      </c>
      <c r="C36" s="80"/>
      <c r="D36" s="80"/>
      <c r="E36" s="80"/>
      <c r="F36" s="87"/>
      <c r="G36" s="87" t="n">
        <v>5.23</v>
      </c>
      <c r="H36" s="102" t="n">
        <f aca="false">M36+(25.6-$E$9)+($D$9-0.5*$F$12-29.4)</f>
        <v>5.05000000000001</v>
      </c>
      <c r="I36" s="103" t="n">
        <f aca="false">F36*G36*H36</f>
        <v>0</v>
      </c>
      <c r="J36" s="102" t="n">
        <f aca="false">N36+(25.6-$E$15)+($D$15-0.5*$F$18-29.4)</f>
        <v>0.15</v>
      </c>
      <c r="K36" s="103" t="n">
        <f aca="false">F36*G36*J36</f>
        <v>0</v>
      </c>
      <c r="L36" s="72"/>
      <c r="M36" s="106" t="n">
        <f aca="false">INDEX(O36:AA36,1,MATCH(MAX($O$64:$AA$64),$O$64:$AA$64,0))</f>
        <v>-1.1</v>
      </c>
      <c r="N36" s="107" t="n">
        <f aca="false">INDEX(O36:AA36,1,MATCH(MAX($O$65:$AA$65),$O$65:$AA$65,0))</f>
        <v>-1.1</v>
      </c>
      <c r="O36" s="108" t="n">
        <f aca="false">VALUES!C$61</f>
        <v>-1.1</v>
      </c>
      <c r="P36" s="108" t="n">
        <f aca="false">VALUES!D$61</f>
        <v>-1.1</v>
      </c>
      <c r="Q36" s="108" t="n">
        <f aca="false">VALUES!E$61</f>
        <v>0</v>
      </c>
      <c r="R36" s="108" t="n">
        <f aca="false">VALUES!F$61</f>
        <v>1.1</v>
      </c>
      <c r="S36" s="108" t="n">
        <f aca="false">VALUES!G$61</f>
        <v>2.2</v>
      </c>
      <c r="T36" s="108" t="n">
        <f aca="false">VALUES!H$61</f>
        <v>3.9</v>
      </c>
      <c r="U36" s="108" t="n">
        <f aca="false">VALUES!I$61</f>
        <v>5</v>
      </c>
      <c r="V36" s="108" t="n">
        <f aca="false">VALUES!J$61</f>
        <v>6.7</v>
      </c>
      <c r="W36" s="108" t="n">
        <f aca="false">VALUES!K$61</f>
        <v>7.2</v>
      </c>
      <c r="X36" s="108" t="n">
        <f aca="false">VALUES!L$61</f>
        <v>7.8</v>
      </c>
      <c r="Y36" s="108" t="n">
        <f aca="false">VALUES!M$61</f>
        <v>7.8</v>
      </c>
      <c r="Z36" s="108" t="n">
        <f aca="false">VALUES!N$61</f>
        <v>7.2</v>
      </c>
      <c r="AA36" s="108" t="n">
        <f aca="false">VALUES!O$61</f>
        <v>6.7</v>
      </c>
    </row>
    <row r="37" customFormat="false" ht="13.05" hidden="false" customHeight="true" outlineLevel="0" collapsed="false">
      <c r="A37" s="79" t="n">
        <v>10</v>
      </c>
      <c r="B37" s="80" t="s">
        <v>141</v>
      </c>
      <c r="C37" s="80"/>
      <c r="D37" s="80"/>
      <c r="E37" s="80"/>
      <c r="F37" s="87"/>
      <c r="G37" s="87" t="n">
        <v>5.23</v>
      </c>
      <c r="H37" s="102" t="n">
        <f aca="false">M37+(25.6-$E$9)+($D$9-0.5*$F$12-29.4)</f>
        <v>5.05000000000001</v>
      </c>
      <c r="I37" s="103" t="n">
        <f aca="false">F37*G37*H37</f>
        <v>0</v>
      </c>
      <c r="J37" s="102" t="n">
        <f aca="false">N37+(25.6-$E$15)+($D$15-0.5*$F$18-29.4)</f>
        <v>0.15</v>
      </c>
      <c r="K37" s="103" t="n">
        <f aca="false">F37*G37*J37</f>
        <v>0</v>
      </c>
      <c r="L37" s="72"/>
      <c r="M37" s="109" t="n">
        <f aca="false">INDEX(O37:AA37,1,MATCH(MAX($O$64:$AA$64),$O$64:$AA$64,0))</f>
        <v>-1.1</v>
      </c>
      <c r="N37" s="110" t="n">
        <f aca="false">INDEX(O37:AA37,1,MATCH(MAX($O$65:$AA$65),$O$65:$AA$65,0))</f>
        <v>-1.1</v>
      </c>
      <c r="O37" s="108" t="n">
        <f aca="false">VALUES!C$61</f>
        <v>-1.1</v>
      </c>
      <c r="P37" s="108" t="n">
        <f aca="false">VALUES!D$61</f>
        <v>-1.1</v>
      </c>
      <c r="Q37" s="108" t="n">
        <f aca="false">VALUES!E$61</f>
        <v>0</v>
      </c>
      <c r="R37" s="108" t="n">
        <f aca="false">VALUES!F$61</f>
        <v>1.1</v>
      </c>
      <c r="S37" s="108" t="n">
        <f aca="false">VALUES!G$61</f>
        <v>2.2</v>
      </c>
      <c r="T37" s="108" t="n">
        <f aca="false">VALUES!H$61</f>
        <v>3.9</v>
      </c>
      <c r="U37" s="108" t="n">
        <f aca="false">VALUES!I$61</f>
        <v>5</v>
      </c>
      <c r="V37" s="108" t="n">
        <f aca="false">VALUES!J$61</f>
        <v>6.7</v>
      </c>
      <c r="W37" s="108" t="n">
        <f aca="false">VALUES!K$61</f>
        <v>7.2</v>
      </c>
      <c r="X37" s="108" t="n">
        <f aca="false">VALUES!L$61</f>
        <v>7.8</v>
      </c>
      <c r="Y37" s="108" t="n">
        <f aca="false">VALUES!M$61</f>
        <v>7.8</v>
      </c>
      <c r="Z37" s="108" t="n">
        <f aca="false">VALUES!N$61</f>
        <v>7.2</v>
      </c>
      <c r="AA37" s="108" t="n">
        <f aca="false">VALUES!O$61</f>
        <v>6.7</v>
      </c>
    </row>
    <row r="38" customFormat="false" ht="13.05" hidden="false" customHeight="true" outlineLevel="0" collapsed="false">
      <c r="A38" s="79" t="n">
        <v>11</v>
      </c>
      <c r="B38" s="80" t="s">
        <v>142</v>
      </c>
      <c r="C38" s="80"/>
      <c r="D38" s="80"/>
      <c r="E38" s="80"/>
      <c r="F38" s="87"/>
      <c r="G38" s="87" t="n">
        <v>5.23</v>
      </c>
      <c r="H38" s="102" t="n">
        <f aca="false">M38+(25.6-$E$9)+($D$9-0.5*$F$12-29.4)</f>
        <v>5.05000000000001</v>
      </c>
      <c r="I38" s="103" t="n">
        <f aca="false">F38*G38*H38</f>
        <v>0</v>
      </c>
      <c r="J38" s="102" t="n">
        <f aca="false">N38+(25.6-$E$15)+($D$15-0.5*$F$18-29.4)</f>
        <v>0.15</v>
      </c>
      <c r="K38" s="103" t="n">
        <f aca="false">F38*G38*J38</f>
        <v>0</v>
      </c>
      <c r="L38" s="72"/>
      <c r="M38" s="109" t="n">
        <f aca="false">INDEX(O38:AA38,1,MATCH(MAX($O$64:$AA$64),$O$64:$AA$64,0))</f>
        <v>-1.1</v>
      </c>
      <c r="N38" s="110" t="n">
        <f aca="false">INDEX(O38:AA38,1,MATCH(MAX($O$65:$AA$65),$O$65:$AA$65,0))</f>
        <v>-1.1</v>
      </c>
      <c r="O38" s="108" t="n">
        <f aca="false">VALUES!C$61</f>
        <v>-1.1</v>
      </c>
      <c r="P38" s="108" t="n">
        <f aca="false">VALUES!D$61</f>
        <v>-1.1</v>
      </c>
      <c r="Q38" s="108" t="n">
        <f aca="false">VALUES!E$61</f>
        <v>0</v>
      </c>
      <c r="R38" s="108" t="n">
        <f aca="false">VALUES!F$61</f>
        <v>1.1</v>
      </c>
      <c r="S38" s="108" t="n">
        <f aca="false">VALUES!G$61</f>
        <v>2.2</v>
      </c>
      <c r="T38" s="108" t="n">
        <f aca="false">VALUES!H$61</f>
        <v>3.9</v>
      </c>
      <c r="U38" s="108" t="n">
        <f aca="false">VALUES!I$61</f>
        <v>5</v>
      </c>
      <c r="V38" s="108" t="n">
        <f aca="false">VALUES!J$61</f>
        <v>6.7</v>
      </c>
      <c r="W38" s="108" t="n">
        <f aca="false">VALUES!K$61</f>
        <v>7.2</v>
      </c>
      <c r="X38" s="108" t="n">
        <f aca="false">VALUES!L$61</f>
        <v>7.8</v>
      </c>
      <c r="Y38" s="108" t="n">
        <f aca="false">VALUES!M$61</f>
        <v>7.8</v>
      </c>
      <c r="Z38" s="108" t="n">
        <f aca="false">VALUES!N$61</f>
        <v>7.2</v>
      </c>
      <c r="AA38" s="108" t="n">
        <f aca="false">VALUES!O$61</f>
        <v>6.7</v>
      </c>
    </row>
    <row r="39" customFormat="false" ht="13.05" hidden="false" customHeight="true" outlineLevel="0" collapsed="false">
      <c r="A39" s="79" t="n">
        <v>12</v>
      </c>
      <c r="B39" s="80" t="s">
        <v>143</v>
      </c>
      <c r="C39" s="80"/>
      <c r="D39" s="80"/>
      <c r="E39" s="80"/>
      <c r="F39" s="87"/>
      <c r="G39" s="87" t="n">
        <v>5.23</v>
      </c>
      <c r="H39" s="102" t="n">
        <f aca="false">M39+(25.6-$E$9)+($D$9-0.5*$F$12-29.4)</f>
        <v>5.05000000000001</v>
      </c>
      <c r="I39" s="103" t="n">
        <f aca="false">F39*G39*H39</f>
        <v>0</v>
      </c>
      <c r="J39" s="102" t="n">
        <f aca="false">N39+(25.6-$E$15)+($D$15-0.5*$F$18-29.4)</f>
        <v>0.15</v>
      </c>
      <c r="K39" s="103" t="n">
        <f aca="false">F39*G39*J39</f>
        <v>0</v>
      </c>
      <c r="L39" s="72"/>
      <c r="M39" s="109" t="n">
        <f aca="false">INDEX(O39:AA39,1,MATCH(MAX($O$64:$AA$64),$O$64:$AA$64,0))</f>
        <v>-1.1</v>
      </c>
      <c r="N39" s="110" t="n">
        <f aca="false">INDEX(O39:AA39,1,MATCH(MAX($O$65:$AA$65),$O$65:$AA$65,0))</f>
        <v>-1.1</v>
      </c>
      <c r="O39" s="108" t="n">
        <f aca="false">VALUES!C$61</f>
        <v>-1.1</v>
      </c>
      <c r="P39" s="108" t="n">
        <f aca="false">VALUES!D$61</f>
        <v>-1.1</v>
      </c>
      <c r="Q39" s="108" t="n">
        <f aca="false">VALUES!E$61</f>
        <v>0</v>
      </c>
      <c r="R39" s="108" t="n">
        <f aca="false">VALUES!F$61</f>
        <v>1.1</v>
      </c>
      <c r="S39" s="108" t="n">
        <f aca="false">VALUES!G$61</f>
        <v>2.2</v>
      </c>
      <c r="T39" s="108" t="n">
        <f aca="false">VALUES!H$61</f>
        <v>3.9</v>
      </c>
      <c r="U39" s="108" t="n">
        <f aca="false">VALUES!I$61</f>
        <v>5</v>
      </c>
      <c r="V39" s="108" t="n">
        <f aca="false">VALUES!J$61</f>
        <v>6.7</v>
      </c>
      <c r="W39" s="108" t="n">
        <f aca="false">VALUES!K$61</f>
        <v>7.2</v>
      </c>
      <c r="X39" s="108" t="n">
        <f aca="false">VALUES!L$61</f>
        <v>7.8</v>
      </c>
      <c r="Y39" s="108" t="n">
        <f aca="false">VALUES!M$61</f>
        <v>7.8</v>
      </c>
      <c r="Z39" s="108" t="n">
        <f aca="false">VALUES!N$61</f>
        <v>7.2</v>
      </c>
      <c r="AA39" s="108" t="n">
        <f aca="false">VALUES!O$61</f>
        <v>6.7</v>
      </c>
    </row>
    <row r="40" customFormat="false" ht="13.05" hidden="false" customHeight="true" outlineLevel="0" collapsed="false">
      <c r="A40" s="79" t="n">
        <v>13</v>
      </c>
      <c r="B40" s="80" t="s">
        <v>144</v>
      </c>
      <c r="C40" s="80"/>
      <c r="D40" s="80"/>
      <c r="E40" s="80"/>
      <c r="F40" s="87"/>
      <c r="G40" s="87" t="n">
        <v>5.23</v>
      </c>
      <c r="H40" s="102" t="n">
        <f aca="false">M40+(25.6-$E$9)+($D$9-0.5*$F$12-29.4)</f>
        <v>5.05000000000001</v>
      </c>
      <c r="I40" s="103" t="n">
        <f aca="false">F40*G40*H40</f>
        <v>0</v>
      </c>
      <c r="J40" s="102" t="n">
        <f aca="false">N40+(25.6-$E$15)+($D$15-0.5*$F$18-29.4)</f>
        <v>0.15</v>
      </c>
      <c r="K40" s="103" t="n">
        <f aca="false">F40*G40*J40</f>
        <v>0</v>
      </c>
      <c r="L40" s="72"/>
      <c r="M40" s="109" t="n">
        <f aca="false">INDEX(O40:AA40,1,MATCH(MAX($O$64:$AA$64),$O$64:$AA$64,0))</f>
        <v>-1.1</v>
      </c>
      <c r="N40" s="110" t="n">
        <f aca="false">INDEX(O40:AA40,1,MATCH(MAX($O$65:$AA$65),$O$65:$AA$65,0))</f>
        <v>-1.1</v>
      </c>
      <c r="O40" s="108" t="n">
        <f aca="false">VALUES!C$61</f>
        <v>-1.1</v>
      </c>
      <c r="P40" s="108" t="n">
        <f aca="false">VALUES!D$61</f>
        <v>-1.1</v>
      </c>
      <c r="Q40" s="108" t="n">
        <f aca="false">VALUES!E$61</f>
        <v>0</v>
      </c>
      <c r="R40" s="108" t="n">
        <f aca="false">VALUES!F$61</f>
        <v>1.1</v>
      </c>
      <c r="S40" s="108" t="n">
        <f aca="false">VALUES!G$61</f>
        <v>2.2</v>
      </c>
      <c r="T40" s="108" t="n">
        <f aca="false">VALUES!H$61</f>
        <v>3.9</v>
      </c>
      <c r="U40" s="108" t="n">
        <f aca="false">VALUES!I$61</f>
        <v>5</v>
      </c>
      <c r="V40" s="108" t="n">
        <f aca="false">VALUES!J$61</f>
        <v>6.7</v>
      </c>
      <c r="W40" s="108" t="n">
        <f aca="false">VALUES!K$61</f>
        <v>7.2</v>
      </c>
      <c r="X40" s="108" t="n">
        <f aca="false">VALUES!L$61</f>
        <v>7.8</v>
      </c>
      <c r="Y40" s="108" t="n">
        <f aca="false">VALUES!M$61</f>
        <v>7.8</v>
      </c>
      <c r="Z40" s="108" t="n">
        <f aca="false">VALUES!N$61</f>
        <v>7.2</v>
      </c>
      <c r="AA40" s="108" t="n">
        <f aca="false">VALUES!O$61</f>
        <v>6.7</v>
      </c>
    </row>
    <row r="41" customFormat="false" ht="13.05" hidden="false" customHeight="true" outlineLevel="0" collapsed="false">
      <c r="A41" s="79" t="n">
        <v>14</v>
      </c>
      <c r="B41" s="80" t="s">
        <v>145</v>
      </c>
      <c r="C41" s="80"/>
      <c r="D41" s="80"/>
      <c r="E41" s="80"/>
      <c r="F41" s="87"/>
      <c r="G41" s="87" t="n">
        <v>5.23</v>
      </c>
      <c r="H41" s="102" t="n">
        <f aca="false">M41+(25.6-$E$9)+($D$9-0.5*$F$12-29.4)</f>
        <v>5.05000000000001</v>
      </c>
      <c r="I41" s="103" t="n">
        <f aca="false">F41*G41*H41</f>
        <v>0</v>
      </c>
      <c r="J41" s="102" t="n">
        <f aca="false">N41+(25.6-$E$15)+($D$15-0.5*$F$18-29.4)</f>
        <v>0.15</v>
      </c>
      <c r="K41" s="103" t="n">
        <f aca="false">F41*G41*J41</f>
        <v>0</v>
      </c>
      <c r="L41" s="72"/>
      <c r="M41" s="109" t="n">
        <f aca="false">INDEX(O41:AA41,1,MATCH(MAX($O$64:$AA$64),$O$64:$AA$64,0))</f>
        <v>-1.1</v>
      </c>
      <c r="N41" s="110" t="n">
        <f aca="false">INDEX(O41:AA41,1,MATCH(MAX($O$65:$AA$65),$O$65:$AA$65,0))</f>
        <v>-1.1</v>
      </c>
      <c r="O41" s="108" t="n">
        <f aca="false">VALUES!C$61</f>
        <v>-1.1</v>
      </c>
      <c r="P41" s="108" t="n">
        <f aca="false">VALUES!D$61</f>
        <v>-1.1</v>
      </c>
      <c r="Q41" s="108" t="n">
        <f aca="false">VALUES!E$61</f>
        <v>0</v>
      </c>
      <c r="R41" s="108" t="n">
        <f aca="false">VALUES!F$61</f>
        <v>1.1</v>
      </c>
      <c r="S41" s="108" t="n">
        <f aca="false">VALUES!G$61</f>
        <v>2.2</v>
      </c>
      <c r="T41" s="108" t="n">
        <f aca="false">VALUES!H$61</f>
        <v>3.9</v>
      </c>
      <c r="U41" s="108" t="n">
        <f aca="false">VALUES!I$61</f>
        <v>5</v>
      </c>
      <c r="V41" s="108" t="n">
        <f aca="false">VALUES!J$61</f>
        <v>6.7</v>
      </c>
      <c r="W41" s="108" t="n">
        <f aca="false">VALUES!K$61</f>
        <v>7.2</v>
      </c>
      <c r="X41" s="108" t="n">
        <f aca="false">VALUES!L$61</f>
        <v>7.8</v>
      </c>
      <c r="Y41" s="108" t="n">
        <f aca="false">VALUES!M$61</f>
        <v>7.8</v>
      </c>
      <c r="Z41" s="108" t="n">
        <f aca="false">VALUES!N$61</f>
        <v>7.2</v>
      </c>
      <c r="AA41" s="108" t="n">
        <f aca="false">VALUES!O$61</f>
        <v>6.7</v>
      </c>
    </row>
    <row r="42" customFormat="false" ht="13.05" hidden="false" customHeight="true" outlineLevel="0" collapsed="false">
      <c r="A42" s="79" t="n">
        <v>15</v>
      </c>
      <c r="B42" s="80" t="s">
        <v>146</v>
      </c>
      <c r="C42" s="80"/>
      <c r="D42" s="80"/>
      <c r="E42" s="80"/>
      <c r="F42" s="87"/>
      <c r="G42" s="87" t="n">
        <v>5.23</v>
      </c>
      <c r="H42" s="102" t="n">
        <f aca="false">M42+(25.6-$E$9)+($D$9-0.5*$F$12-29.4)</f>
        <v>5.05000000000001</v>
      </c>
      <c r="I42" s="103" t="n">
        <f aca="false">F42*G42*H42</f>
        <v>0</v>
      </c>
      <c r="J42" s="102" t="n">
        <f aca="false">N42+(25.6-$E$15)+($D$15-0.5*$F$18-29.4)</f>
        <v>0.15</v>
      </c>
      <c r="K42" s="103" t="n">
        <f aca="false">F42*G42*J42</f>
        <v>0</v>
      </c>
      <c r="L42" s="72"/>
      <c r="M42" s="109" t="n">
        <f aca="false">INDEX(O42:AA42,1,MATCH(MAX($O$64:$AA$64),$O$64:$AA$64,0))</f>
        <v>-1.1</v>
      </c>
      <c r="N42" s="110" t="n">
        <f aca="false">INDEX(O42:AA42,1,MATCH(MAX($O$65:$AA$65),$O$65:$AA$65,0))</f>
        <v>-1.1</v>
      </c>
      <c r="O42" s="108" t="n">
        <f aca="false">VALUES!C$61</f>
        <v>-1.1</v>
      </c>
      <c r="P42" s="108" t="n">
        <f aca="false">VALUES!D$61</f>
        <v>-1.1</v>
      </c>
      <c r="Q42" s="108" t="n">
        <f aca="false">VALUES!E$61</f>
        <v>0</v>
      </c>
      <c r="R42" s="108" t="n">
        <f aca="false">VALUES!F$61</f>
        <v>1.1</v>
      </c>
      <c r="S42" s="108" t="n">
        <f aca="false">VALUES!G$61</f>
        <v>2.2</v>
      </c>
      <c r="T42" s="108" t="n">
        <f aca="false">VALUES!H$61</f>
        <v>3.9</v>
      </c>
      <c r="U42" s="108" t="n">
        <f aca="false">VALUES!I$61</f>
        <v>5</v>
      </c>
      <c r="V42" s="108" t="n">
        <f aca="false">VALUES!J$61</f>
        <v>6.7</v>
      </c>
      <c r="W42" s="108" t="n">
        <f aca="false">VALUES!K$61</f>
        <v>7.2</v>
      </c>
      <c r="X42" s="108" t="n">
        <f aca="false">VALUES!L$61</f>
        <v>7.8</v>
      </c>
      <c r="Y42" s="108" t="n">
        <f aca="false">VALUES!M$61</f>
        <v>7.8</v>
      </c>
      <c r="Z42" s="108" t="n">
        <f aca="false">VALUES!N$61</f>
        <v>7.2</v>
      </c>
      <c r="AA42" s="108" t="n">
        <f aca="false">VALUES!O$61</f>
        <v>6.7</v>
      </c>
    </row>
    <row r="43" customFormat="false" ht="13.05" hidden="false" customHeight="true" outlineLevel="0" collapsed="false">
      <c r="A43" s="79" t="n">
        <v>16</v>
      </c>
      <c r="B43" s="80" t="s">
        <v>147</v>
      </c>
      <c r="C43" s="80"/>
      <c r="D43" s="80"/>
      <c r="E43" s="80"/>
      <c r="F43" s="87"/>
      <c r="G43" s="87" t="n">
        <v>5.23</v>
      </c>
      <c r="H43" s="102" t="n">
        <f aca="false">M43+(25.6-$E$9)+($D$9-0.5*$F$12-29.4)</f>
        <v>5.05000000000001</v>
      </c>
      <c r="I43" s="103" t="n">
        <f aca="false">F43*G43*H43</f>
        <v>0</v>
      </c>
      <c r="J43" s="102" t="n">
        <f aca="false">N43+(25.6-$E$15)+($D$15-0.5*$F$18-29.4)</f>
        <v>0.15</v>
      </c>
      <c r="K43" s="103" t="n">
        <f aca="false">F43*G43*J43</f>
        <v>0</v>
      </c>
      <c r="L43" s="72"/>
      <c r="M43" s="109" t="n">
        <f aca="false">INDEX(O43:AA43,1,MATCH(MAX($O$64:$AA$64),$O$64:$AA$64,0))</f>
        <v>-1.1</v>
      </c>
      <c r="N43" s="110" t="n">
        <f aca="false">INDEX(O43:AA43,1,MATCH(MAX($O$65:$AA$65),$O$65:$AA$65,0))</f>
        <v>-1.1</v>
      </c>
      <c r="O43" s="108" t="n">
        <f aca="false">VALUES!C$61</f>
        <v>-1.1</v>
      </c>
      <c r="P43" s="108" t="n">
        <f aca="false">VALUES!D$61</f>
        <v>-1.1</v>
      </c>
      <c r="Q43" s="108" t="n">
        <f aca="false">VALUES!E$61</f>
        <v>0</v>
      </c>
      <c r="R43" s="108" t="n">
        <f aca="false">VALUES!F$61</f>
        <v>1.1</v>
      </c>
      <c r="S43" s="108" t="n">
        <f aca="false">VALUES!G$61</f>
        <v>2.2</v>
      </c>
      <c r="T43" s="108" t="n">
        <f aca="false">VALUES!H$61</f>
        <v>3.9</v>
      </c>
      <c r="U43" s="108" t="n">
        <f aca="false">VALUES!I$61</f>
        <v>5</v>
      </c>
      <c r="V43" s="108" t="n">
        <f aca="false">VALUES!J$61</f>
        <v>6.7</v>
      </c>
      <c r="W43" s="108" t="n">
        <f aca="false">VALUES!K$61</f>
        <v>7.2</v>
      </c>
      <c r="X43" s="108" t="n">
        <f aca="false">VALUES!L$61</f>
        <v>7.8</v>
      </c>
      <c r="Y43" s="108" t="n">
        <f aca="false">VALUES!M$61</f>
        <v>7.8</v>
      </c>
      <c r="Z43" s="108" t="n">
        <f aca="false">VALUES!N$61</f>
        <v>7.2</v>
      </c>
      <c r="AA43" s="108" t="n">
        <f aca="false">VALUES!O$61</f>
        <v>6.7</v>
      </c>
    </row>
    <row r="44" customFormat="false" ht="12.8" hidden="false" customHeight="true" outlineLevel="0" collapsed="false">
      <c r="A44" s="79" t="n">
        <v>17</v>
      </c>
      <c r="B44" s="80" t="s">
        <v>148</v>
      </c>
      <c r="C44" s="80"/>
      <c r="D44" s="80"/>
      <c r="E44" s="80"/>
      <c r="F44" s="87" t="n">
        <f aca="false">(6.8+6.8+6.8)*4.2</f>
        <v>85.68</v>
      </c>
      <c r="G44" s="87" t="n">
        <v>2.28</v>
      </c>
      <c r="H44" s="102" t="n">
        <f aca="false">$D$9-$E$9-3</f>
        <v>12.2</v>
      </c>
      <c r="I44" s="103" t="n">
        <f aca="false">F44*G44*H44</f>
        <v>2383.27488</v>
      </c>
      <c r="J44" s="102" t="n">
        <f aca="false">$D$15-$E$15-3</f>
        <v>7.3</v>
      </c>
      <c r="K44" s="103" t="n">
        <f aca="false">F44*G44*J44</f>
        <v>1426.05792</v>
      </c>
      <c r="L44" s="72"/>
      <c r="M44" s="111"/>
      <c r="N44" s="111"/>
    </row>
    <row r="45" customFormat="false" ht="13.05" hidden="false" customHeight="true" outlineLevel="0" collapsed="false">
      <c r="A45" s="79" t="n">
        <v>18</v>
      </c>
      <c r="B45" s="80" t="s">
        <v>149</v>
      </c>
      <c r="C45" s="80"/>
      <c r="D45" s="80"/>
      <c r="E45" s="80"/>
      <c r="F45" s="87"/>
      <c r="G45" s="87" t="n">
        <v>7.1</v>
      </c>
      <c r="H45" s="102" t="n">
        <f aca="false">$D$9-$E$9-3</f>
        <v>12.2</v>
      </c>
      <c r="I45" s="103" t="n">
        <f aca="false">F45*G45*H45</f>
        <v>0</v>
      </c>
      <c r="J45" s="102" t="n">
        <f aca="false">$D$15-$E$15-3</f>
        <v>7.3</v>
      </c>
      <c r="K45" s="103" t="n">
        <f aca="false">F45*G45*J45</f>
        <v>0</v>
      </c>
      <c r="L45" s="72"/>
      <c r="M45" s="111"/>
      <c r="N45" s="111"/>
    </row>
    <row r="46" customFormat="false" ht="12.8" hidden="false" customHeight="true" outlineLevel="0" collapsed="false">
      <c r="A46" s="79" t="n">
        <v>19</v>
      </c>
      <c r="B46" s="80" t="s">
        <v>150</v>
      </c>
      <c r="C46" s="80"/>
      <c r="D46" s="80"/>
      <c r="E46" s="80"/>
      <c r="F46" s="87"/>
      <c r="G46" s="87" t="n">
        <v>3.19</v>
      </c>
      <c r="H46" s="102" t="n">
        <f aca="false">$D$9-$E$9-3</f>
        <v>12.2</v>
      </c>
      <c r="I46" s="103" t="n">
        <f aca="false">F46*G46*H46</f>
        <v>0</v>
      </c>
      <c r="J46" s="102" t="n">
        <f aca="false">$D$15-$E$15-3</f>
        <v>7.3</v>
      </c>
      <c r="K46" s="103" t="n">
        <f aca="false">F46*G46*J46</f>
        <v>0</v>
      </c>
      <c r="L46" s="72"/>
      <c r="M46" s="111"/>
      <c r="N46" s="111"/>
    </row>
    <row r="47" customFormat="false" ht="13.05" hidden="false" customHeight="true" outlineLevel="0" collapsed="false">
      <c r="A47" s="79" t="n">
        <v>20</v>
      </c>
      <c r="B47" s="80" t="s">
        <v>151</v>
      </c>
      <c r="C47" s="80"/>
      <c r="D47" s="80"/>
      <c r="E47" s="80"/>
      <c r="F47" s="87"/>
      <c r="G47" s="87" t="n">
        <v>0.7</v>
      </c>
      <c r="H47" s="102" t="n">
        <f aca="false">VALUES!$F$39+(25.6-$E$9)+($D$9-0.5*$F$12-29.4)</f>
        <v>31.65</v>
      </c>
      <c r="I47" s="103" t="n">
        <f aca="false">F47*G47*H47</f>
        <v>0</v>
      </c>
      <c r="J47" s="102" t="n">
        <f aca="false">VALUES!$I$39+(25.6-$E$15)+($D$15-0.5*$F$18-29.4)</f>
        <v>25.75</v>
      </c>
      <c r="K47" s="103" t="n">
        <f aca="false">F47*G47*J47</f>
        <v>0</v>
      </c>
      <c r="M47" s="111"/>
      <c r="N47" s="111"/>
    </row>
    <row r="48" customFormat="false" ht="24.25" hidden="false" customHeight="true" outlineLevel="0" collapsed="false">
      <c r="A48" s="79" t="n">
        <v>21</v>
      </c>
      <c r="B48" s="80" t="s">
        <v>152</v>
      </c>
      <c r="C48" s="80"/>
      <c r="D48" s="80"/>
      <c r="E48" s="80"/>
      <c r="F48" s="87" t="n">
        <f aca="false">B85</f>
        <v>73.07</v>
      </c>
      <c r="G48" s="87" t="n">
        <v>3.19</v>
      </c>
      <c r="H48" s="102" t="n">
        <f aca="false">$D$9-$E$9-3</f>
        <v>12.2</v>
      </c>
      <c r="I48" s="103" t="n">
        <f aca="false">F48*G48*H48</f>
        <v>2843.73826</v>
      </c>
      <c r="J48" s="102" t="n">
        <f aca="false">$D$15-$E$15-3</f>
        <v>7.3</v>
      </c>
      <c r="K48" s="103" t="n">
        <f aca="false">F48*G48*J48</f>
        <v>1701.58109</v>
      </c>
      <c r="M48" s="111"/>
      <c r="N48" s="111"/>
    </row>
    <row r="49" customFormat="false" ht="13.05" hidden="false" customHeight="true" outlineLevel="0" collapsed="false">
      <c r="A49" s="79" t="n">
        <v>22</v>
      </c>
      <c r="B49" s="80" t="s">
        <v>153</v>
      </c>
      <c r="C49" s="80"/>
      <c r="D49" s="80"/>
      <c r="E49" s="80"/>
      <c r="F49" s="87"/>
      <c r="G49" s="87" t="n">
        <v>5.23</v>
      </c>
      <c r="H49" s="102" t="n">
        <f aca="false">M49+(25.6-$E$9)+($D$9-0.5*$F$12-29.4)</f>
        <v>5.05000000000001</v>
      </c>
      <c r="I49" s="103" t="n">
        <f aca="false">F49*G49*H49</f>
        <v>0</v>
      </c>
      <c r="J49" s="102" t="n">
        <f aca="false">N49+(25.6-$E$15)+($D$15-0.5*$F$18-29.4)</f>
        <v>0.15</v>
      </c>
      <c r="K49" s="103" t="n">
        <f aca="false">F49*G49*J49</f>
        <v>0</v>
      </c>
      <c r="M49" s="109" t="n">
        <f aca="false">INDEX(O49:AA49,1,MATCH(MAX($O$64:$AA$64),$O$64:$AA$64,0))</f>
        <v>-1.1</v>
      </c>
      <c r="N49" s="110" t="n">
        <f aca="false">INDEX(O49:AA49,1,MATCH(MAX($O$65:$AA$65),$O$65:$AA$65,0))</f>
        <v>-1.1</v>
      </c>
      <c r="O49" s="108" t="n">
        <f aca="false">VALUES!C$61</f>
        <v>-1.1</v>
      </c>
      <c r="P49" s="108" t="n">
        <f aca="false">VALUES!D$61</f>
        <v>-1.1</v>
      </c>
      <c r="Q49" s="108" t="n">
        <f aca="false">VALUES!E$61</f>
        <v>0</v>
      </c>
      <c r="R49" s="108" t="n">
        <f aca="false">VALUES!F$61</f>
        <v>1.1</v>
      </c>
      <c r="S49" s="108" t="n">
        <f aca="false">VALUES!G$61</f>
        <v>2.2</v>
      </c>
      <c r="T49" s="108" t="n">
        <f aca="false">VALUES!H$61</f>
        <v>3.9</v>
      </c>
      <c r="U49" s="108" t="n">
        <f aca="false">VALUES!I$61</f>
        <v>5</v>
      </c>
      <c r="V49" s="108" t="n">
        <f aca="false">VALUES!J$61</f>
        <v>6.7</v>
      </c>
      <c r="W49" s="108" t="n">
        <f aca="false">VALUES!K$61</f>
        <v>7.2</v>
      </c>
      <c r="X49" s="108" t="n">
        <f aca="false">VALUES!L$61</f>
        <v>7.8</v>
      </c>
      <c r="Y49" s="108" t="n">
        <f aca="false">VALUES!M$61</f>
        <v>7.8</v>
      </c>
      <c r="Z49" s="108" t="n">
        <f aca="false">VALUES!N$61</f>
        <v>7.2</v>
      </c>
      <c r="AA49" s="108" t="n">
        <f aca="false">VALUES!O$61</f>
        <v>6.7</v>
      </c>
    </row>
    <row r="50" customFormat="false" ht="13.05" hidden="false" customHeight="true" outlineLevel="0" collapsed="false">
      <c r="A50" s="79" t="n">
        <v>23</v>
      </c>
      <c r="B50" s="82" t="s">
        <v>154</v>
      </c>
      <c r="C50" s="82"/>
      <c r="D50" s="82"/>
      <c r="E50" s="82"/>
      <c r="F50" s="87"/>
      <c r="G50" s="87"/>
      <c r="H50" s="87"/>
      <c r="I50" s="103" t="n">
        <f aca="false">F50*G50*H50</f>
        <v>0</v>
      </c>
      <c r="J50" s="87"/>
      <c r="K50" s="103" t="n">
        <f aca="false">F50*G50*J50</f>
        <v>0</v>
      </c>
      <c r="L50" s="72"/>
      <c r="M50" s="111"/>
      <c r="N50" s="111"/>
    </row>
    <row r="51" s="117" customFormat="true" ht="13.05" hidden="false" customHeight="true" outlineLevel="0" collapsed="false">
      <c r="A51" s="112" t="s">
        <v>22</v>
      </c>
      <c r="B51" s="113" t="s">
        <v>155</v>
      </c>
      <c r="C51" s="113"/>
      <c r="D51" s="113"/>
      <c r="E51" s="113"/>
      <c r="F51" s="112"/>
      <c r="G51" s="112"/>
      <c r="H51" s="112"/>
      <c r="I51" s="114" t="n">
        <f aca="false">SUM(I28:I50)</f>
        <v>6233.0677</v>
      </c>
      <c r="J51" s="112"/>
      <c r="K51" s="114" t="n">
        <f aca="false">SUM(K28:K50)</f>
        <v>3515.08397</v>
      </c>
      <c r="L51" s="115"/>
      <c r="M51" s="116"/>
      <c r="N51" s="116"/>
      <c r="AMJ51" s="71"/>
    </row>
    <row r="52" s="117" customFormat="true" ht="12.8" hidden="false" customHeight="false" outlineLevel="0" collapsed="false">
      <c r="M52" s="116"/>
      <c r="N52" s="116"/>
    </row>
    <row r="53" customFormat="false" ht="13.05" hidden="false" customHeight="true" outlineLevel="0" collapsed="false">
      <c r="A53" s="101" t="s">
        <v>156</v>
      </c>
      <c r="B53" s="72"/>
      <c r="C53" s="72"/>
      <c r="D53" s="72"/>
      <c r="E53" s="72"/>
      <c r="F53" s="118" t="s">
        <v>97</v>
      </c>
      <c r="G53" s="118"/>
      <c r="H53" s="118"/>
      <c r="I53" s="119" t="s">
        <v>107</v>
      </c>
      <c r="J53" s="119"/>
      <c r="K53" s="119"/>
      <c r="L53" s="105"/>
      <c r="M53" s="120"/>
      <c r="N53" s="121"/>
    </row>
    <row r="54" customFormat="false" ht="35.4" hidden="false" customHeight="true" outlineLevel="0" collapsed="false">
      <c r="A54" s="118" t="s">
        <v>157</v>
      </c>
      <c r="B54" s="118" t="s">
        <v>121</v>
      </c>
      <c r="C54" s="118"/>
      <c r="D54" s="118" t="s">
        <v>158</v>
      </c>
      <c r="E54" s="118" t="s">
        <v>159</v>
      </c>
      <c r="F54" s="118" t="s">
        <v>160</v>
      </c>
      <c r="G54" s="118" t="s">
        <v>161</v>
      </c>
      <c r="H54" s="118" t="s">
        <v>162</v>
      </c>
      <c r="I54" s="118" t="s">
        <v>160</v>
      </c>
      <c r="J54" s="118" t="s">
        <v>161</v>
      </c>
      <c r="K54" s="118" t="s">
        <v>162</v>
      </c>
      <c r="L54" s="122" t="s">
        <v>163</v>
      </c>
      <c r="M54" s="123" t="n">
        <f aca="false">INDEX(O54:AA54,1,MATCH(MAX($O$64:$AA$64),$O$64:$AA$64,0))</f>
        <v>6</v>
      </c>
      <c r="N54" s="123" t="n">
        <f aca="false">INDEX(O54:AA54,1,MATCH(MAX($O$65:$AA$65),$O$65:$AA$65,0))</f>
        <v>6</v>
      </c>
      <c r="O54" s="104" t="n">
        <f aca="false">VALUES!$C$21</f>
        <v>6</v>
      </c>
      <c r="P54" s="104" t="n">
        <f aca="false">VALUES!$D$21</f>
        <v>7</v>
      </c>
      <c r="Q54" s="104" t="n">
        <f aca="false">VALUES!$E$21</f>
        <v>8</v>
      </c>
      <c r="R54" s="104" t="n">
        <f aca="false">VALUES!$F$21</f>
        <v>9</v>
      </c>
      <c r="S54" s="104" t="n">
        <f aca="false">VALUES!$G$21</f>
        <v>10</v>
      </c>
      <c r="T54" s="104" t="n">
        <f aca="false">VALUES!$H$21</f>
        <v>11</v>
      </c>
      <c r="U54" s="104" t="n">
        <f aca="false">VALUES!$I$21</f>
        <v>12</v>
      </c>
      <c r="V54" s="104" t="n">
        <f aca="false">VALUES!$J$21</f>
        <v>13</v>
      </c>
      <c r="W54" s="104" t="n">
        <f aca="false">VALUES!$K$21</f>
        <v>14</v>
      </c>
      <c r="X54" s="104" t="n">
        <f aca="false">VALUES!$L$21</f>
        <v>15</v>
      </c>
      <c r="Y54" s="104" t="n">
        <f aca="false">VALUES!$M$21</f>
        <v>16</v>
      </c>
      <c r="Z54" s="104" t="n">
        <f aca="false">VALUES!$N$21</f>
        <v>17</v>
      </c>
      <c r="AA54" s="104" t="n">
        <f aca="false">VALUES!$O$21</f>
        <v>18</v>
      </c>
    </row>
    <row r="55" customFormat="false" ht="13.05" hidden="false" customHeight="true" outlineLevel="0" collapsed="false">
      <c r="A55" s="79" t="n">
        <v>1</v>
      </c>
      <c r="B55" s="124" t="s">
        <v>140</v>
      </c>
      <c r="C55" s="124"/>
      <c r="D55" s="79" t="n">
        <f aca="false">F36</f>
        <v>0</v>
      </c>
      <c r="E55" s="87" t="n">
        <v>0.7</v>
      </c>
      <c r="F55" s="102" t="n">
        <f aca="false">M55</f>
        <v>0.73</v>
      </c>
      <c r="G55" s="79" t="n">
        <f aca="false">VALUES!$D$8</f>
        <v>237</v>
      </c>
      <c r="H55" s="125" t="n">
        <f aca="false">D55*G55*E55*F55</f>
        <v>0</v>
      </c>
      <c r="I55" s="102" t="n">
        <f aca="false">N55</f>
        <v>0.73</v>
      </c>
      <c r="J55" s="79" t="n">
        <f aca="false">VALUES!$F$8</f>
        <v>101</v>
      </c>
      <c r="K55" s="103" t="n">
        <f aca="false">D55*E55*I55*J55</f>
        <v>0</v>
      </c>
      <c r="L55" s="105"/>
      <c r="M55" s="109" t="n">
        <f aca="false">INDEX(O55:AA55,1,MATCH(MAX($O$64:$AA$64),$O$64:$AA$64,0))</f>
        <v>0.73</v>
      </c>
      <c r="N55" s="106" t="n">
        <f aca="false">INDEX(O55:AA55,1,MATCH(MAX($O$65:$AA$65),$O$65:$AA$65,0))</f>
        <v>0.73</v>
      </c>
      <c r="O55" s="70" t="n">
        <f aca="false">VALUES!$C$23</f>
        <v>0.73</v>
      </c>
      <c r="P55" s="70" t="n">
        <f aca="false">VALUES!$D$23</f>
        <v>0.66</v>
      </c>
      <c r="Q55" s="70" t="n">
        <f aca="false">VALUES!$E$23</f>
        <v>0.65</v>
      </c>
      <c r="R55" s="70" t="n">
        <f aca="false">VALUES!$F$23</f>
        <v>0.73</v>
      </c>
      <c r="S55" s="70" t="n">
        <f aca="false">VALUES!$G$23</f>
        <v>0.8</v>
      </c>
      <c r="T55" s="70" t="n">
        <f aca="false">VALUES!$H$23</f>
        <v>0.86</v>
      </c>
      <c r="U55" s="70" t="n">
        <f aca="false">VALUES!$I$23</f>
        <v>0.89</v>
      </c>
      <c r="V55" s="70" t="n">
        <f aca="false">VALUES!$J$23</f>
        <v>0.89</v>
      </c>
      <c r="W55" s="70" t="n">
        <f aca="false">VALUES!$K$23</f>
        <v>0.86</v>
      </c>
      <c r="X55" s="70" t="n">
        <f aca="false">VALUES!$L$23</f>
        <v>0.82</v>
      </c>
      <c r="Y55" s="70" t="n">
        <f aca="false">VALUES!$M$23</f>
        <v>0.75</v>
      </c>
      <c r="Z55" s="70" t="n">
        <f aca="false">VALUES!$N$23</f>
        <v>0.78</v>
      </c>
      <c r="AA55" s="70" t="n">
        <f aca="false">VALUES!$O$23</f>
        <v>0.91</v>
      </c>
    </row>
    <row r="56" customFormat="false" ht="13.05" hidden="false" customHeight="true" outlineLevel="0" collapsed="false">
      <c r="A56" s="79" t="n">
        <v>2</v>
      </c>
      <c r="B56" s="124" t="s">
        <v>141</v>
      </c>
      <c r="C56" s="124"/>
      <c r="D56" s="79" t="n">
        <f aca="false">F37</f>
        <v>0</v>
      </c>
      <c r="E56" s="87" t="n">
        <v>0.7</v>
      </c>
      <c r="F56" s="102" t="n">
        <f aca="false">M56</f>
        <v>0.56</v>
      </c>
      <c r="G56" s="79" t="n">
        <f aca="false">VALUES!$D$9</f>
        <v>625</v>
      </c>
      <c r="H56" s="103" t="n">
        <f aca="false">D56*G56*E56*F56</f>
        <v>0</v>
      </c>
      <c r="I56" s="102" t="n">
        <f aca="false">N56</f>
        <v>0.56</v>
      </c>
      <c r="J56" s="79" t="n">
        <f aca="false">VALUES!$F$9</f>
        <v>199</v>
      </c>
      <c r="K56" s="103" t="n">
        <f aca="false">D56*E56*I56*J56</f>
        <v>0</v>
      </c>
      <c r="L56" s="105"/>
      <c r="M56" s="109" t="n">
        <f aca="false">INDEX(O56:AA56,1,MATCH(MAX($O$64:$AA$64),$O$64:$AA$64,0))</f>
        <v>0.56</v>
      </c>
      <c r="N56" s="109" t="n">
        <f aca="false">INDEX(O56:AA56,1,MATCH(MAX($O$65:$AA$65),$O$65:$AA$65,0))</f>
        <v>0.56</v>
      </c>
      <c r="O56" s="70" t="n">
        <f aca="false">VALUES!$C$24</f>
        <v>0.56</v>
      </c>
      <c r="P56" s="70" t="n">
        <f aca="false">VALUES!$D$24</f>
        <v>0.76</v>
      </c>
      <c r="Q56" s="70" t="n">
        <f aca="false">VALUES!$E$24</f>
        <v>0.74</v>
      </c>
      <c r="R56" s="70" t="n">
        <f aca="false">VALUES!$F$24</f>
        <v>0.58</v>
      </c>
      <c r="S56" s="70" t="n">
        <f aca="false">VALUES!$G$24</f>
        <v>0.37</v>
      </c>
      <c r="T56" s="70" t="n">
        <f aca="false">VALUES!$H$24</f>
        <v>0.29</v>
      </c>
      <c r="U56" s="70" t="n">
        <f aca="false">VALUES!$I$24</f>
        <v>0.27</v>
      </c>
      <c r="V56" s="70" t="n">
        <f aca="false">VALUES!$J$24</f>
        <v>0.26</v>
      </c>
      <c r="W56" s="70" t="n">
        <f aca="false">VALUES!$K$24</f>
        <v>0.24</v>
      </c>
      <c r="X56" s="70" t="n">
        <f aca="false">VALUES!$L$24</f>
        <v>0.22</v>
      </c>
      <c r="Y56" s="70" t="n">
        <f aca="false">VALUES!$M$24</f>
        <v>0.2</v>
      </c>
      <c r="Z56" s="70" t="n">
        <f aca="false">VALUES!$N$24</f>
        <v>0.16</v>
      </c>
      <c r="AA56" s="70" t="n">
        <f aca="false">VALUES!$O$24</f>
        <v>0.12</v>
      </c>
    </row>
    <row r="57" customFormat="false" ht="13.05" hidden="false" customHeight="true" outlineLevel="0" collapsed="false">
      <c r="A57" s="79" t="n">
        <v>3</v>
      </c>
      <c r="B57" s="124" t="s">
        <v>142</v>
      </c>
      <c r="C57" s="124"/>
      <c r="D57" s="79" t="n">
        <f aca="false">F38</f>
        <v>0</v>
      </c>
      <c r="E57" s="87" t="n">
        <v>0.7</v>
      </c>
      <c r="F57" s="102" t="n">
        <f aca="false">M57</f>
        <v>0.47</v>
      </c>
      <c r="G57" s="79" t="n">
        <f aca="false">VALUES!$D$10</f>
        <v>644</v>
      </c>
      <c r="H57" s="103" t="n">
        <f aca="false">D57*G57*E57*F57</f>
        <v>0</v>
      </c>
      <c r="I57" s="102" t="n">
        <f aca="false">N57</f>
        <v>0.47</v>
      </c>
      <c r="J57" s="79" t="n">
        <f aca="false">VALUES!$F$10</f>
        <v>675</v>
      </c>
      <c r="K57" s="103" t="n">
        <f aca="false">D57*E57*I57*J57</f>
        <v>0</v>
      </c>
      <c r="L57" s="105"/>
      <c r="M57" s="109" t="n">
        <f aca="false">INDEX(O57:AA57,1,MATCH(MAX($O$64:$AA$64),$O$64:$AA$64,0))</f>
        <v>0.47</v>
      </c>
      <c r="N57" s="109" t="n">
        <f aca="false">INDEX(O57:AA57,1,MATCH(MAX($O$65:$AA$65),$O$65:$AA$65,0))</f>
        <v>0.47</v>
      </c>
      <c r="O57" s="70" t="n">
        <f aca="false">VALUES!$C$25</f>
        <v>0.47</v>
      </c>
      <c r="P57" s="70" t="n">
        <f aca="false">VALUES!$D$25</f>
        <v>0.72</v>
      </c>
      <c r="Q57" s="70" t="n">
        <f aca="false">VALUES!$E$25</f>
        <v>0.8</v>
      </c>
      <c r="R57" s="70" t="n">
        <f aca="false">VALUES!$F$25</f>
        <v>0.76</v>
      </c>
      <c r="S57" s="70" t="n">
        <f aca="false">VALUES!$G$25</f>
        <v>0.62</v>
      </c>
      <c r="T57" s="70" t="n">
        <f aca="false">VALUES!$H$25</f>
        <v>0.41</v>
      </c>
      <c r="U57" s="70" t="n">
        <f aca="false">VALUES!$I$25</f>
        <v>0.27</v>
      </c>
      <c r="V57" s="70" t="n">
        <f aca="false">VALUES!$J$25</f>
        <v>0.26</v>
      </c>
      <c r="W57" s="70" t="n">
        <f aca="false">VALUES!$K$25</f>
        <v>0.24</v>
      </c>
      <c r="X57" s="70" t="n">
        <f aca="false">VALUES!$L$25</f>
        <v>0.22</v>
      </c>
      <c r="Y57" s="70" t="n">
        <f aca="false">VALUES!$M$25</f>
        <v>0.2</v>
      </c>
      <c r="Z57" s="70" t="n">
        <f aca="false">VALUES!$N$25</f>
        <v>0.16</v>
      </c>
      <c r="AA57" s="70" t="n">
        <f aca="false">VALUES!$O$25</f>
        <v>0.12</v>
      </c>
    </row>
    <row r="58" customFormat="false" ht="13.05" hidden="false" customHeight="true" outlineLevel="0" collapsed="false">
      <c r="A58" s="79" t="n">
        <v>4</v>
      </c>
      <c r="B58" s="124" t="s">
        <v>143</v>
      </c>
      <c r="C58" s="124"/>
      <c r="D58" s="79" t="n">
        <f aca="false">F39</f>
        <v>0</v>
      </c>
      <c r="E58" s="87" t="n">
        <v>0.7</v>
      </c>
      <c r="F58" s="102" t="n">
        <f aca="false">M58</f>
        <v>0.3</v>
      </c>
      <c r="G58" s="79" t="n">
        <f aca="false">VALUES!$D$11</f>
        <v>284</v>
      </c>
      <c r="H58" s="103" t="n">
        <f aca="false">D58*G58*E58*F58</f>
        <v>0</v>
      </c>
      <c r="I58" s="102" t="n">
        <f aca="false">N58</f>
        <v>0.3</v>
      </c>
      <c r="J58" s="79" t="n">
        <f aca="false">VALUES!$F$11</f>
        <v>767</v>
      </c>
      <c r="K58" s="103" t="n">
        <f aca="false">D58*E58*I58*J58</f>
        <v>0</v>
      </c>
      <c r="L58" s="105"/>
      <c r="M58" s="109" t="n">
        <f aca="false">INDEX(O58:AA58,1,MATCH(MAX($O$64:$AA$64),$O$64:$AA$64,0))</f>
        <v>0.3</v>
      </c>
      <c r="N58" s="109" t="n">
        <f aca="false">INDEX(O58:AA58,1,MATCH(MAX($O$65:$AA$65),$O$65:$AA$65,0))</f>
        <v>0.3</v>
      </c>
      <c r="O58" s="70" t="n">
        <f aca="false">VALUES!$C$26</f>
        <v>0.3</v>
      </c>
      <c r="P58" s="70" t="n">
        <f aca="false">VALUES!$D$26</f>
        <v>0.57</v>
      </c>
      <c r="Q58" s="70" t="n">
        <f aca="false">VALUES!$E$26</f>
        <v>0.74</v>
      </c>
      <c r="R58" s="70" t="n">
        <f aca="false">VALUES!$F$26</f>
        <v>0.81</v>
      </c>
      <c r="S58" s="70" t="n">
        <f aca="false">VALUES!$G$26</f>
        <v>0.79</v>
      </c>
      <c r="T58" s="70" t="n">
        <f aca="false">VALUES!$H$26</f>
        <v>0.68</v>
      </c>
      <c r="U58" s="70" t="n">
        <f aca="false">VALUES!$I$26</f>
        <v>0.49</v>
      </c>
      <c r="V58" s="70" t="n">
        <f aca="false">VALUES!$J$26</f>
        <v>0.33</v>
      </c>
      <c r="W58" s="70" t="n">
        <f aca="false">VALUES!$K$26</f>
        <v>0.28</v>
      </c>
      <c r="X58" s="70" t="n">
        <f aca="false">VALUES!$L$26</f>
        <v>0.25</v>
      </c>
      <c r="Y58" s="70" t="n">
        <f aca="false">VALUES!$M$26</f>
        <v>0.22</v>
      </c>
      <c r="Z58" s="70" t="n">
        <f aca="false">VALUES!$N$26</f>
        <v>0.18</v>
      </c>
      <c r="AA58" s="70" t="n">
        <f aca="false">VALUES!$O$26</f>
        <v>0.13</v>
      </c>
    </row>
    <row r="59" customFormat="false" ht="13.05" hidden="false" customHeight="true" outlineLevel="0" collapsed="false">
      <c r="A59" s="79" t="n">
        <v>5</v>
      </c>
      <c r="B59" s="124" t="s">
        <v>144</v>
      </c>
      <c r="C59" s="124"/>
      <c r="D59" s="79" t="n">
        <f aca="false">F40</f>
        <v>0</v>
      </c>
      <c r="E59" s="87" t="n">
        <v>0.7</v>
      </c>
      <c r="F59" s="102" t="n">
        <f aca="false">M59</f>
        <v>0.09</v>
      </c>
      <c r="G59" s="79" t="n">
        <f aca="false">VALUES!$D$12</f>
        <v>126</v>
      </c>
      <c r="H59" s="103" t="n">
        <f aca="false">D59*G59*E59*F59</f>
        <v>0</v>
      </c>
      <c r="I59" s="102" t="n">
        <f aca="false">N59</f>
        <v>0.09</v>
      </c>
      <c r="J59" s="79" t="n">
        <f aca="false">VALUES!$F$12</f>
        <v>565</v>
      </c>
      <c r="K59" s="103" t="n">
        <f aca="false">D59*E59*I59*J59</f>
        <v>0</v>
      </c>
      <c r="L59" s="105"/>
      <c r="M59" s="109" t="n">
        <f aca="false">INDEX(O59:AA59,1,MATCH(MAX($O$64:$AA$64),$O$64:$AA$64,0))</f>
        <v>0.09</v>
      </c>
      <c r="N59" s="109" t="n">
        <f aca="false">INDEX(O59:AA59,1,MATCH(MAX($O$65:$AA$65),$O$65:$AA$65,0))</f>
        <v>0.09</v>
      </c>
      <c r="O59" s="70" t="n">
        <f aca="false">VALUES!$C$27</f>
        <v>0.09</v>
      </c>
      <c r="P59" s="70" t="n">
        <f aca="false">VALUES!$D$27</f>
        <v>0.16</v>
      </c>
      <c r="Q59" s="70" t="n">
        <f aca="false">VALUES!$E$27</f>
        <v>0.23</v>
      </c>
      <c r="R59" s="70" t="n">
        <f aca="false">VALUES!$F$27</f>
        <v>0.38</v>
      </c>
      <c r="S59" s="70" t="n">
        <f aca="false">VALUES!$G$27</f>
        <v>0.58</v>
      </c>
      <c r="T59" s="70" t="n">
        <f aca="false">VALUES!$H$27</f>
        <v>0.75</v>
      </c>
      <c r="U59" s="70" t="n">
        <f aca="false">VALUES!$I$27</f>
        <v>0.83</v>
      </c>
      <c r="V59" s="70" t="n">
        <f aca="false">VALUES!$J$27</f>
        <v>0.8</v>
      </c>
      <c r="W59" s="70" t="n">
        <f aca="false">VALUES!$K$27</f>
        <v>0.68</v>
      </c>
      <c r="X59" s="70" t="n">
        <f aca="false">VALUES!$L$27</f>
        <v>0.5</v>
      </c>
      <c r="Y59" s="70" t="n">
        <f aca="false">VALUES!$M$27</f>
        <v>0.35</v>
      </c>
      <c r="Z59" s="70" t="n">
        <f aca="false">VALUES!$N$27</f>
        <v>0.27</v>
      </c>
      <c r="AA59" s="70" t="n">
        <f aca="false">VALUES!$O$27</f>
        <v>0.19</v>
      </c>
    </row>
    <row r="60" customFormat="false" ht="13.05" hidden="false" customHeight="true" outlineLevel="0" collapsed="false">
      <c r="A60" s="79" t="n">
        <v>6</v>
      </c>
      <c r="B60" s="124" t="s">
        <v>145</v>
      </c>
      <c r="C60" s="124"/>
      <c r="D60" s="79" t="n">
        <f aca="false">F41</f>
        <v>0</v>
      </c>
      <c r="E60" s="87" t="n">
        <v>0.7</v>
      </c>
      <c r="F60" s="102" t="n">
        <f aca="false">M60</f>
        <v>0.07</v>
      </c>
      <c r="G60" s="79" t="n">
        <f aca="false">VALUES!$D$13</f>
        <v>284</v>
      </c>
      <c r="H60" s="103" t="n">
        <f aca="false">D60*G60*E60*F60</f>
        <v>0</v>
      </c>
      <c r="I60" s="102" t="n">
        <f aca="false">N60</f>
        <v>0.07</v>
      </c>
      <c r="J60" s="79" t="n">
        <f aca="false">VALUES!$F$13</f>
        <v>767</v>
      </c>
      <c r="K60" s="103" t="n">
        <f aca="false">D60*E60*I60*J60</f>
        <v>0</v>
      </c>
      <c r="L60" s="105"/>
      <c r="M60" s="109" t="n">
        <f aca="false">INDEX(O60:AA60,1,MATCH(MAX($O$64:$AA$64),$O$64:$AA$64,0))</f>
        <v>0.07</v>
      </c>
      <c r="N60" s="109" t="n">
        <f aca="false">INDEX(O60:AA60,1,MATCH(MAX($O$65:$AA$65),$O$65:$AA$65,0))</f>
        <v>0.07</v>
      </c>
      <c r="O60" s="70" t="n">
        <f aca="false">VALUES!$C$28</f>
        <v>0.07</v>
      </c>
      <c r="P60" s="70" t="n">
        <f aca="false">VALUES!$D$28</f>
        <v>0.11</v>
      </c>
      <c r="Q60" s="70" t="n">
        <f aca="false">VALUES!$E$28</f>
        <v>0.14</v>
      </c>
      <c r="R60" s="70" t="n">
        <f aca="false">VALUES!$F$28</f>
        <v>0.16</v>
      </c>
      <c r="S60" s="70" t="n">
        <f aca="false">VALUES!$G$28</f>
        <v>0.19</v>
      </c>
      <c r="T60" s="70" t="n">
        <f aca="false">VALUES!$H$28</f>
        <v>0.22</v>
      </c>
      <c r="U60" s="70" t="n">
        <f aca="false">VALUES!$I$28</f>
        <v>0.38</v>
      </c>
      <c r="V60" s="70" t="n">
        <f aca="false">VALUES!$J$28</f>
        <v>0.59</v>
      </c>
      <c r="W60" s="70" t="n">
        <f aca="false">VALUES!$K$28</f>
        <v>0.75</v>
      </c>
      <c r="X60" s="70" t="n">
        <f aca="false">VALUES!$L$28</f>
        <v>0.83</v>
      </c>
      <c r="Y60" s="70" t="n">
        <f aca="false">VALUES!$M$28</f>
        <v>0.81</v>
      </c>
      <c r="Z60" s="70" t="n">
        <f aca="false">VALUES!$N$28</f>
        <v>0.69</v>
      </c>
      <c r="AA60" s="70" t="n">
        <f aca="false">VALUES!$O$28</f>
        <v>0.45</v>
      </c>
    </row>
    <row r="61" customFormat="false" ht="13.05" hidden="false" customHeight="true" outlineLevel="0" collapsed="false">
      <c r="A61" s="79" t="n">
        <v>7</v>
      </c>
      <c r="B61" s="124" t="s">
        <v>146</v>
      </c>
      <c r="C61" s="124"/>
      <c r="D61" s="79" t="n">
        <f aca="false">F42</f>
        <v>0</v>
      </c>
      <c r="E61" s="87" t="n">
        <v>0.7</v>
      </c>
      <c r="F61" s="102" t="n">
        <f aca="false">M61</f>
        <v>0.06</v>
      </c>
      <c r="G61" s="79" t="n">
        <f aca="false">VALUES!$D$14</f>
        <v>644</v>
      </c>
      <c r="H61" s="103" t="n">
        <f aca="false">D61*G61*E61*F61</f>
        <v>0</v>
      </c>
      <c r="I61" s="102" t="n">
        <f aca="false">N61</f>
        <v>0.06</v>
      </c>
      <c r="J61" s="79" t="n">
        <f aca="false">VALUES!$F$14</f>
        <v>675</v>
      </c>
      <c r="K61" s="103" t="n">
        <f aca="false">D61*E61*I61*J61</f>
        <v>0</v>
      </c>
      <c r="L61" s="105"/>
      <c r="M61" s="109" t="n">
        <f aca="false">INDEX(O61:AA61,1,MATCH(MAX($O$64:$AA$64),$O$64:$AA$64,0))</f>
        <v>0.06</v>
      </c>
      <c r="N61" s="109" t="n">
        <f aca="false">INDEX(O61:AA61,1,MATCH(MAX($O$65:$AA$65),$O$65:$AA$65,0))</f>
        <v>0.06</v>
      </c>
      <c r="O61" s="70" t="n">
        <f aca="false">VALUES!$C$29</f>
        <v>0.06</v>
      </c>
      <c r="P61" s="70" t="n">
        <f aca="false">VALUES!$D$29</f>
        <v>0.09</v>
      </c>
      <c r="Q61" s="70" t="n">
        <f aca="false">VALUES!$E$29</f>
        <v>0.11</v>
      </c>
      <c r="R61" s="70" t="n">
        <f aca="false">VALUES!$F$29</f>
        <v>0.13</v>
      </c>
      <c r="S61" s="70" t="n">
        <f aca="false">VALUES!$G$29</f>
        <v>0.15</v>
      </c>
      <c r="T61" s="70" t="n">
        <f aca="false">VALUES!$H$29</f>
        <v>0.16</v>
      </c>
      <c r="U61" s="70" t="n">
        <f aca="false">VALUES!$I$29</f>
        <v>0.17</v>
      </c>
      <c r="V61" s="70" t="n">
        <f aca="false">VALUES!$J$29</f>
        <v>0.31</v>
      </c>
      <c r="W61" s="70" t="n">
        <f aca="false">VALUES!$K$29</f>
        <v>0.53</v>
      </c>
      <c r="X61" s="70" t="n">
        <f aca="false">VALUES!$L$29</f>
        <v>0.72</v>
      </c>
      <c r="Y61" s="70" t="n">
        <f aca="false">VALUES!$M$29</f>
        <v>0.82</v>
      </c>
      <c r="Z61" s="70" t="n">
        <f aca="false">VALUES!$N$29</f>
        <v>0.81</v>
      </c>
      <c r="AA61" s="70" t="n">
        <f aca="false">VALUES!$O$29</f>
        <v>0.61</v>
      </c>
    </row>
    <row r="62" customFormat="false" ht="13.05" hidden="false" customHeight="true" outlineLevel="0" collapsed="false">
      <c r="A62" s="79" t="n">
        <v>8</v>
      </c>
      <c r="B62" s="124" t="s">
        <v>147</v>
      </c>
      <c r="C62" s="124"/>
      <c r="D62" s="79" t="n">
        <f aca="false">F43</f>
        <v>0</v>
      </c>
      <c r="E62" s="87" t="n">
        <v>0.7</v>
      </c>
      <c r="F62" s="102" t="n">
        <f aca="false">M62</f>
        <v>0.07</v>
      </c>
      <c r="G62" s="79" t="n">
        <f aca="false">VALUES!$D$15</f>
        <v>625</v>
      </c>
      <c r="H62" s="103" t="n">
        <f aca="false">D62*G62*E62*F62</f>
        <v>0</v>
      </c>
      <c r="I62" s="102" t="n">
        <f aca="false">N62</f>
        <v>0.07</v>
      </c>
      <c r="J62" s="79" t="n">
        <f aca="false">VALUES!$F$15</f>
        <v>199</v>
      </c>
      <c r="K62" s="103" t="n">
        <f aca="false">D62*E62*I62*J62</f>
        <v>0</v>
      </c>
      <c r="L62" s="105"/>
      <c r="M62" s="109" t="n">
        <f aca="false">INDEX(O62:AA62,1,MATCH(MAX($O$64:$AA$64),$O$64:$AA$64,0))</f>
        <v>0.07</v>
      </c>
      <c r="N62" s="109" t="n">
        <f aca="false">INDEX(O62:AA62,1,MATCH(MAX($O$65:$AA$65),$O$65:$AA$65,0))</f>
        <v>0.07</v>
      </c>
      <c r="O62" s="70" t="n">
        <f aca="false">VALUES!$C$30</f>
        <v>0.07</v>
      </c>
      <c r="P62" s="70" t="n">
        <f aca="false">VALUES!$D$30</f>
        <v>0.11</v>
      </c>
      <c r="Q62" s="70" t="n">
        <f aca="false">VALUES!$E$30</f>
        <v>0.14</v>
      </c>
      <c r="R62" s="70" t="n">
        <f aca="false">VALUES!$F$30</f>
        <v>0.17</v>
      </c>
      <c r="S62" s="70" t="n">
        <f aca="false">VALUES!$G$30</f>
        <v>0.19</v>
      </c>
      <c r="T62" s="70" t="n">
        <f aca="false">VALUES!$H$30</f>
        <v>0.2</v>
      </c>
      <c r="U62" s="70" t="n">
        <f aca="false">VALUES!$I$30</f>
        <v>0.21</v>
      </c>
      <c r="V62" s="70" t="n">
        <f aca="false">VALUES!$J$30</f>
        <v>0.22</v>
      </c>
      <c r="W62" s="70" t="n">
        <f aca="false">VALUES!$K$30</f>
        <v>0.3</v>
      </c>
      <c r="X62" s="70" t="n">
        <f aca="false">VALUES!$L$30</f>
        <v>0.52</v>
      </c>
      <c r="Y62" s="70" t="n">
        <f aca="false">VALUES!$M$30</f>
        <v>0.73</v>
      </c>
      <c r="Z62" s="70" t="n">
        <f aca="false">VALUES!$N$30</f>
        <v>0.82</v>
      </c>
      <c r="AA62" s="70" t="n">
        <f aca="false">VALUES!$O$30</f>
        <v>0.69</v>
      </c>
    </row>
    <row r="63" customFormat="false" ht="13.05" hidden="false" customHeight="true" outlineLevel="0" collapsed="false">
      <c r="A63" s="79" t="n">
        <v>9</v>
      </c>
      <c r="B63" s="124" t="s">
        <v>164</v>
      </c>
      <c r="C63" s="124"/>
      <c r="D63" s="79" t="n">
        <f aca="false">F49</f>
        <v>0</v>
      </c>
      <c r="E63" s="87" t="n">
        <v>0.6</v>
      </c>
      <c r="F63" s="102" t="n">
        <f aca="false">M63</f>
        <v>0.12</v>
      </c>
      <c r="G63" s="79" t="n">
        <f aca="false">VALUES!$D$16</f>
        <v>864</v>
      </c>
      <c r="H63" s="103" t="n">
        <f aca="false">D63*G63*E63*F63</f>
        <v>0</v>
      </c>
      <c r="I63" s="102" t="n">
        <f aca="false">N63</f>
        <v>0.12</v>
      </c>
      <c r="J63" s="79" t="n">
        <f aca="false">VALUES!$F$16</f>
        <v>820</v>
      </c>
      <c r="K63" s="103" t="n">
        <f aca="false">D63*E63*I63*J63</f>
        <v>0</v>
      </c>
      <c r="L63" s="105"/>
      <c r="M63" s="109" t="n">
        <f aca="false">INDEX(O63:AA63,1,MATCH(MAX($O$64:$AA$64),$O$64:$AA$64,0))</f>
        <v>0.12</v>
      </c>
      <c r="N63" s="109" t="n">
        <f aca="false">INDEX(O63:AA63,1,MATCH(MAX($O$65:$AA$65),$O$65:$AA$65,0))</f>
        <v>0.12</v>
      </c>
      <c r="O63" s="70" t="n">
        <f aca="false">VALUES!$C$31</f>
        <v>0.12</v>
      </c>
      <c r="P63" s="70" t="n">
        <f aca="false">VALUES!$D$31</f>
        <v>0.27</v>
      </c>
      <c r="Q63" s="70" t="n">
        <f aca="false">VALUES!$E$31</f>
        <v>0.44</v>
      </c>
      <c r="R63" s="70" t="n">
        <f aca="false">VALUES!$F$31</f>
        <v>0.59</v>
      </c>
      <c r="S63" s="70" t="n">
        <f aca="false">VALUES!$G$31</f>
        <v>0.72</v>
      </c>
      <c r="T63" s="70" t="n">
        <f aca="false">VALUES!$H$31</f>
        <v>0.81</v>
      </c>
      <c r="U63" s="70" t="n">
        <f aca="false">VALUES!$I$31</f>
        <v>0.85</v>
      </c>
      <c r="V63" s="70" t="n">
        <f aca="false">VALUES!$J$31</f>
        <v>0.85</v>
      </c>
      <c r="W63" s="70" t="n">
        <f aca="false">VALUES!$K$31</f>
        <v>0.81</v>
      </c>
      <c r="X63" s="70" t="n">
        <f aca="false">VALUES!$L$31</f>
        <v>0.71</v>
      </c>
      <c r="Y63" s="70" t="n">
        <f aca="false">VALUES!$M$31</f>
        <v>0.58</v>
      </c>
      <c r="Z63" s="70" t="n">
        <f aca="false">VALUES!$N$31</f>
        <v>0.42</v>
      </c>
      <c r="AA63" s="70" t="n">
        <f aca="false">VALUES!$O$31</f>
        <v>0.25</v>
      </c>
    </row>
    <row r="64" customFormat="false" ht="13.05" hidden="false" customHeight="true" outlineLevel="0" collapsed="false">
      <c r="A64" s="79" t="n">
        <v>10</v>
      </c>
      <c r="B64" s="124" t="s">
        <v>154</v>
      </c>
      <c r="C64" s="124"/>
      <c r="D64" s="87"/>
      <c r="E64" s="87"/>
      <c r="F64" s="87"/>
      <c r="G64" s="87"/>
      <c r="H64" s="103" t="n">
        <f aca="false">D64*G64*E64*F64</f>
        <v>0</v>
      </c>
      <c r="I64" s="87"/>
      <c r="J64" s="87"/>
      <c r="K64" s="103" t="n">
        <f aca="false">D64*E64*I64*J64</f>
        <v>0</v>
      </c>
      <c r="L64" s="105"/>
      <c r="M64" s="123" t="n">
        <f aca="false">INDEX(O64:AA64,1,MATCH(MAX($O$64:$AA$64),$O$64:$AA$64,0))</f>
        <v>0</v>
      </c>
      <c r="N64" s="121"/>
      <c r="O64" s="126" t="n">
        <f aca="false">SUMPRODUCT(O55:O63, $E$55:$E$63, $D$55:$D$63, $G$55:$G$63)</f>
        <v>0</v>
      </c>
      <c r="P64" s="126" t="n">
        <f aca="false">SUMPRODUCT(P55:P63, $E$55:$E$63, $D$55:$D$63, $G$55:$G$63)</f>
        <v>0</v>
      </c>
      <c r="Q64" s="126" t="n">
        <f aca="false">SUMPRODUCT(Q55:Q63, $E$55:$E$63, $D$55:$D$63, $G$55:$G$63)</f>
        <v>0</v>
      </c>
      <c r="R64" s="126" t="n">
        <f aca="false">SUMPRODUCT(R55:R63, $E$55:$E$63, $D$55:$D$63, $G$55:$G$63)</f>
        <v>0</v>
      </c>
      <c r="S64" s="126" t="n">
        <f aca="false">SUMPRODUCT(S55:S63, $E$55:$E$63, $D$55:$D$63, $G$55:$G$63)</f>
        <v>0</v>
      </c>
      <c r="T64" s="126" t="n">
        <f aca="false">SUMPRODUCT(T55:T63, $E$55:$E$63, $D$55:$D$63, $G$55:$G$63)</f>
        <v>0</v>
      </c>
      <c r="U64" s="126" t="n">
        <f aca="false">SUMPRODUCT(U55:U63, $E$55:$E$63, $D$55:$D$63, $G$55:$G$63)</f>
        <v>0</v>
      </c>
      <c r="V64" s="126" t="n">
        <f aca="false">SUMPRODUCT(V55:V63, $E$55:$E$63, $D$55:$D$63, $G$55:$G$63)</f>
        <v>0</v>
      </c>
      <c r="W64" s="126" t="n">
        <f aca="false">SUMPRODUCT(W55:W63, $E$55:$E$63, $D$55:$D$63, $G$55:$G$63)</f>
        <v>0</v>
      </c>
      <c r="X64" s="126" t="n">
        <f aca="false">SUMPRODUCT(X55:X63, $E$55:$E$63, $D$55:$D$63, $G$55:$G$63)</f>
        <v>0</v>
      </c>
      <c r="Y64" s="126" t="n">
        <f aca="false">SUMPRODUCT(Y55:Y63, $E$55:$E$63, $D$55:$D$63, $G$55:$G$63)</f>
        <v>0</v>
      </c>
      <c r="Z64" s="126" t="n">
        <f aca="false">SUMPRODUCT(Z55:Z63, $E$55:$E$63, $D$55:$D$63, $G$55:$G$63)</f>
        <v>0</v>
      </c>
      <c r="AA64" s="126" t="n">
        <f aca="false">SUMPRODUCT(AA55:AA63, $E$55:$E$63, $D$55:$D$63, $G$55:$G$63)</f>
        <v>0</v>
      </c>
    </row>
    <row r="65" s="117" customFormat="true" ht="24.25" hidden="false" customHeight="true" outlineLevel="0" collapsed="false">
      <c r="A65" s="112" t="s">
        <v>4</v>
      </c>
      <c r="B65" s="127" t="s">
        <v>165</v>
      </c>
      <c r="C65" s="127"/>
      <c r="D65" s="112"/>
      <c r="E65" s="128"/>
      <c r="F65" s="112"/>
      <c r="G65" s="112"/>
      <c r="H65" s="114" t="n">
        <f aca="false">SUM(H55:H64)</f>
        <v>0</v>
      </c>
      <c r="I65" s="112"/>
      <c r="J65" s="112"/>
      <c r="K65" s="114" t="n">
        <f aca="false">SUM(K55:K64)</f>
        <v>0</v>
      </c>
      <c r="L65" s="105"/>
      <c r="M65" s="115"/>
      <c r="N65" s="123" t="n">
        <f aca="false">INDEX(O65:AA65,1,MATCH(MAX($O$65:$AA$65),$O$65:$AA$65,0))</f>
        <v>0</v>
      </c>
      <c r="O65" s="126" t="n">
        <f aca="false">SUMPRODUCT(O55:O63, $E$55:$E$63, $D$55:$D$63, $J$55:$J$63)</f>
        <v>0</v>
      </c>
      <c r="P65" s="126" t="n">
        <f aca="false">SUMPRODUCT(P55:P63, $E$55:$E$63, $D$55:$D$63, $J$55:$J$63)</f>
        <v>0</v>
      </c>
      <c r="Q65" s="126" t="n">
        <f aca="false">SUMPRODUCT(Q55:Q63, $E$55:$E$63, $D$55:$D$63, $J$55:$J$63)</f>
        <v>0</v>
      </c>
      <c r="R65" s="126" t="n">
        <f aca="false">SUMPRODUCT(R55:R63, $E$55:$E$63, $D$55:$D$63, $J$55:$J$63)</f>
        <v>0</v>
      </c>
      <c r="S65" s="126" t="n">
        <f aca="false">SUMPRODUCT(S55:S63, $E$55:$E$63, $D$55:$D$63, $J$55:$J$63)</f>
        <v>0</v>
      </c>
      <c r="T65" s="126" t="n">
        <f aca="false">SUMPRODUCT(T55:T63, $E$55:$E$63, $D$55:$D$63, $J$55:$J$63)</f>
        <v>0</v>
      </c>
      <c r="U65" s="126" t="n">
        <f aca="false">SUMPRODUCT(U55:U63, $E$55:$E$63, $D$55:$D$63, $J$55:$J$63)</f>
        <v>0</v>
      </c>
      <c r="V65" s="126" t="n">
        <f aca="false">SUMPRODUCT(V55:V63, $E$55:$E$63, $D$55:$D$63, $J$55:$J$63)</f>
        <v>0</v>
      </c>
      <c r="W65" s="126" t="n">
        <f aca="false">SUMPRODUCT(W55:W63, $E$55:$E$63, $D$55:$D$63, $J$55:$J$63)</f>
        <v>0</v>
      </c>
      <c r="X65" s="126" t="n">
        <f aca="false">SUMPRODUCT(X55:X63, $E$55:$E$63, $D$55:$D$63, $J$55:$J$63)</f>
        <v>0</v>
      </c>
      <c r="Y65" s="126" t="n">
        <f aca="false">SUMPRODUCT(Y55:Y63, $E$55:$E$63, $D$55:$D$63, $J$55:$J$63)</f>
        <v>0</v>
      </c>
      <c r="Z65" s="126" t="n">
        <f aca="false">SUMPRODUCT(Z55:Z63, $E$55:$E$63, $D$55:$D$63, $J$55:$J$63)</f>
        <v>0</v>
      </c>
      <c r="AA65" s="126" t="n">
        <f aca="false">SUMPRODUCT(AA55:AA63, $E$55:$E$63, $D$55:$D$63, $J$55:$J$63)</f>
        <v>0</v>
      </c>
      <c r="AMJ65" s="71"/>
    </row>
    <row r="66" s="117" customFormat="true" ht="12.8" hidden="false" customHeight="false" outlineLevel="0" collapsed="false"/>
    <row r="67" customFormat="false" ht="13.05" hidden="false" customHeight="false" outlineLevel="0" collapsed="false">
      <c r="A67" s="101" t="s">
        <v>166</v>
      </c>
      <c r="B67" s="76"/>
      <c r="C67" s="76"/>
      <c r="D67" s="76"/>
      <c r="E67" s="76"/>
      <c r="F67" s="79" t="s">
        <v>167</v>
      </c>
      <c r="G67" s="79" t="s">
        <v>168</v>
      </c>
      <c r="H67" s="79" t="s">
        <v>169</v>
      </c>
      <c r="L67" s="72"/>
      <c r="M67" s="72"/>
      <c r="N67" s="72"/>
    </row>
    <row r="68" customFormat="false" ht="12.8" hidden="false" customHeight="false" outlineLevel="0" collapsed="false">
      <c r="A68" s="79" t="n">
        <v>1</v>
      </c>
      <c r="B68" s="79" t="s">
        <v>170</v>
      </c>
      <c r="C68" s="87" t="n">
        <v>5</v>
      </c>
      <c r="D68" s="79" t="s">
        <v>171</v>
      </c>
      <c r="E68" s="87" t="n">
        <v>60</v>
      </c>
      <c r="F68" s="87" t="n">
        <v>1</v>
      </c>
      <c r="G68" s="103" t="n">
        <f aca="false">C68*E68*F68</f>
        <v>300</v>
      </c>
      <c r="H68" s="129"/>
      <c r="L68" s="72"/>
      <c r="M68" s="72"/>
      <c r="N68" s="72"/>
    </row>
    <row r="69" customFormat="false" ht="12.8" hidden="false" customHeight="false" outlineLevel="0" collapsed="false">
      <c r="A69" s="79" t="n">
        <v>2</v>
      </c>
      <c r="B69" s="79" t="s">
        <v>170</v>
      </c>
      <c r="C69" s="87" t="n">
        <v>5</v>
      </c>
      <c r="D69" s="79" t="s">
        <v>171</v>
      </c>
      <c r="E69" s="87" t="n">
        <v>70</v>
      </c>
      <c r="F69" s="80"/>
      <c r="G69" s="129"/>
      <c r="H69" s="103" t="n">
        <f aca="false">C69*E69</f>
        <v>350</v>
      </c>
      <c r="L69" s="72"/>
      <c r="M69" s="72"/>
      <c r="N69" s="72"/>
    </row>
    <row r="70" customFormat="false" ht="13.05" hidden="false" customHeight="true" outlineLevel="0" collapsed="false">
      <c r="A70" s="112" t="s">
        <v>46</v>
      </c>
      <c r="B70" s="127" t="s">
        <v>172</v>
      </c>
      <c r="C70" s="127"/>
      <c r="D70" s="127"/>
      <c r="E70" s="127"/>
      <c r="F70" s="127"/>
      <c r="G70" s="114" t="n">
        <f aca="false">SUM(G68:G69)</f>
        <v>300</v>
      </c>
      <c r="H70" s="114" t="n">
        <f aca="false">SUM(H68:H69)</f>
        <v>350</v>
      </c>
      <c r="L70" s="72"/>
      <c r="M70" s="72"/>
      <c r="N70" s="72"/>
    </row>
    <row r="71" s="117" customFormat="true" ht="12.8" hidden="false" customHeight="false" outlineLevel="0" collapsed="false"/>
    <row r="72" customFormat="false" ht="35.4" hidden="false" customHeight="false" outlineLevel="0" collapsed="false">
      <c r="A72" s="101" t="s">
        <v>173</v>
      </c>
      <c r="B72" s="101"/>
      <c r="C72" s="101"/>
      <c r="D72" s="101"/>
      <c r="E72" s="101"/>
      <c r="F72" s="79" t="s">
        <v>174</v>
      </c>
      <c r="G72" s="79" t="s">
        <v>167</v>
      </c>
      <c r="H72" s="79" t="s">
        <v>168</v>
      </c>
      <c r="I72" s="79" t="s">
        <v>169</v>
      </c>
      <c r="L72" s="72"/>
      <c r="M72" s="72"/>
      <c r="N72" s="72"/>
    </row>
    <row r="73" customFormat="false" ht="12.8" hidden="false" customHeight="false" outlineLevel="0" collapsed="false">
      <c r="A73" s="79" t="n">
        <v>1</v>
      </c>
      <c r="B73" s="80" t="s">
        <v>175</v>
      </c>
      <c r="C73" s="87"/>
      <c r="D73" s="79" t="s">
        <v>171</v>
      </c>
      <c r="E73" s="87" t="n">
        <v>20</v>
      </c>
      <c r="F73" s="87" t="n">
        <v>1</v>
      </c>
      <c r="G73" s="87" t="n">
        <v>1</v>
      </c>
      <c r="H73" s="103" t="n">
        <f aca="false">C73*E73*F73*G73</f>
        <v>0</v>
      </c>
      <c r="I73" s="129"/>
      <c r="L73" s="72"/>
      <c r="M73" s="72"/>
      <c r="N73" s="72"/>
    </row>
    <row r="74" customFormat="false" ht="13.05" hidden="false" customHeight="false" outlineLevel="0" collapsed="false">
      <c r="A74" s="79" t="n">
        <v>2</v>
      </c>
      <c r="B74" s="82" t="s">
        <v>176</v>
      </c>
      <c r="C74" s="87"/>
      <c r="D74" s="79" t="s">
        <v>171</v>
      </c>
      <c r="E74" s="87" t="n">
        <v>100</v>
      </c>
      <c r="F74" s="87" t="n">
        <v>0.4</v>
      </c>
      <c r="G74" s="87" t="n">
        <v>1</v>
      </c>
      <c r="H74" s="103" t="n">
        <f aca="false">C74*E74*F74*G74</f>
        <v>0</v>
      </c>
      <c r="I74" s="129"/>
      <c r="L74" s="72"/>
      <c r="M74" s="72"/>
      <c r="N74" s="72"/>
    </row>
    <row r="75" customFormat="false" ht="13.05" hidden="false" customHeight="false" outlineLevel="0" collapsed="false">
      <c r="A75" s="79" t="n">
        <v>3</v>
      </c>
      <c r="B75" s="82" t="s">
        <v>177</v>
      </c>
      <c r="C75" s="87"/>
      <c r="D75" s="79" t="s">
        <v>171</v>
      </c>
      <c r="E75" s="87" t="n">
        <v>1000</v>
      </c>
      <c r="F75" s="87" t="n">
        <v>0.4</v>
      </c>
      <c r="G75" s="87" t="n">
        <v>1</v>
      </c>
      <c r="H75" s="103" t="n">
        <f aca="false">C75*E75*F75*G75</f>
        <v>0</v>
      </c>
      <c r="I75" s="129"/>
      <c r="L75" s="72"/>
      <c r="M75" s="72"/>
      <c r="N75" s="72"/>
    </row>
    <row r="76" customFormat="false" ht="23.85" hidden="false" customHeight="false" outlineLevel="0" collapsed="false">
      <c r="A76" s="79" t="n">
        <v>4</v>
      </c>
      <c r="B76" s="82" t="s">
        <v>178</v>
      </c>
      <c r="C76" s="87"/>
      <c r="D76" s="87"/>
      <c r="E76" s="87"/>
      <c r="F76" s="87" t="n">
        <v>1</v>
      </c>
      <c r="G76" s="87" t="n">
        <v>1</v>
      </c>
      <c r="H76" s="103" t="n">
        <f aca="false">SUM(C76+D76+E76)*F76*G76</f>
        <v>0</v>
      </c>
      <c r="I76" s="129"/>
      <c r="L76" s="72"/>
      <c r="M76" s="72"/>
      <c r="N76" s="72"/>
    </row>
    <row r="77" customFormat="false" ht="23.85" hidden="false" customHeight="false" outlineLevel="0" collapsed="false">
      <c r="A77" s="79" t="n">
        <v>5</v>
      </c>
      <c r="B77" s="82" t="s">
        <v>179</v>
      </c>
      <c r="C77" s="87" t="n">
        <v>1</v>
      </c>
      <c r="D77" s="79" t="s">
        <v>171</v>
      </c>
      <c r="E77" s="87" t="n">
        <v>1000</v>
      </c>
      <c r="F77" s="87" t="n">
        <v>1</v>
      </c>
      <c r="G77" s="87" t="n">
        <v>1</v>
      </c>
      <c r="H77" s="103" t="n">
        <f aca="false">C77*E77*F77*G77</f>
        <v>1000</v>
      </c>
      <c r="I77" s="129"/>
      <c r="L77" s="72"/>
      <c r="M77" s="72"/>
      <c r="N77" s="72"/>
    </row>
    <row r="78" customFormat="false" ht="24.25" hidden="false" customHeight="false" outlineLevel="0" collapsed="false">
      <c r="A78" s="79" t="n">
        <v>6</v>
      </c>
      <c r="B78" s="82" t="s">
        <v>180</v>
      </c>
      <c r="C78" s="87" t="n">
        <v>1</v>
      </c>
      <c r="D78" s="79" t="s">
        <v>171</v>
      </c>
      <c r="E78" s="87" t="n">
        <v>5000</v>
      </c>
      <c r="F78" s="87" t="n">
        <v>1</v>
      </c>
      <c r="G78" s="87" t="n">
        <v>1</v>
      </c>
      <c r="H78" s="103" t="n">
        <f aca="false">C78*E78*F78*G78</f>
        <v>5000</v>
      </c>
      <c r="I78" s="129"/>
      <c r="L78" s="72"/>
      <c r="M78" s="72"/>
      <c r="N78" s="72"/>
    </row>
    <row r="79" customFormat="false" ht="13.05" hidden="false" customHeight="false" outlineLevel="0" collapsed="false">
      <c r="A79" s="79" t="n">
        <v>7</v>
      </c>
      <c r="B79" s="80" t="s">
        <v>181</v>
      </c>
      <c r="C79" s="87"/>
      <c r="D79" s="87"/>
      <c r="E79" s="87"/>
      <c r="F79" s="87" t="n">
        <v>1</v>
      </c>
      <c r="G79" s="87" t="n">
        <v>1</v>
      </c>
      <c r="H79" s="103" t="n">
        <f aca="false">SUM(C79+D79+E79)*F79*G79</f>
        <v>0</v>
      </c>
      <c r="I79" s="129"/>
      <c r="J79" s="105"/>
      <c r="K79" s="105"/>
      <c r="L79" s="89"/>
      <c r="M79" s="89"/>
      <c r="N79" s="72"/>
    </row>
    <row r="80" customFormat="false" ht="13.05" hidden="false" customHeight="false" outlineLevel="0" collapsed="false">
      <c r="A80" s="79" t="n">
        <v>8</v>
      </c>
      <c r="B80" s="80" t="s">
        <v>182</v>
      </c>
      <c r="C80" s="87"/>
      <c r="D80" s="87"/>
      <c r="E80" s="87"/>
      <c r="F80" s="87" t="n">
        <v>1</v>
      </c>
      <c r="G80" s="80"/>
      <c r="H80" s="129"/>
      <c r="I80" s="103" t="n">
        <f aca="false">SUM(C80+D80+E80)*F80</f>
        <v>0</v>
      </c>
      <c r="J80" s="105"/>
      <c r="K80" s="105"/>
      <c r="L80" s="89"/>
      <c r="M80" s="89"/>
      <c r="N80" s="72"/>
    </row>
    <row r="81" customFormat="false" ht="13.05" hidden="false" customHeight="true" outlineLevel="0" collapsed="false">
      <c r="A81" s="112" t="s">
        <v>183</v>
      </c>
      <c r="B81" s="127" t="s">
        <v>184</v>
      </c>
      <c r="C81" s="127"/>
      <c r="D81" s="127"/>
      <c r="E81" s="127"/>
      <c r="F81" s="127"/>
      <c r="G81" s="127"/>
      <c r="H81" s="114" t="n">
        <f aca="false">SUM(H73:H80)</f>
        <v>6000</v>
      </c>
      <c r="I81" s="114" t="n">
        <f aca="false">SUM(I73:I80)</f>
        <v>0</v>
      </c>
      <c r="L81" s="72"/>
      <c r="M81" s="72"/>
      <c r="N81" s="72"/>
    </row>
    <row r="82" s="117" customFormat="true" ht="12.8" hidden="false" customHeight="false" outlineLevel="0" collapsed="false"/>
    <row r="83" customFormat="false" ht="13.05" hidden="false" customHeight="true" outlineLevel="0" collapsed="false">
      <c r="A83" s="101" t="s">
        <v>185</v>
      </c>
      <c r="B83" s="88"/>
      <c r="C83" s="105"/>
      <c r="D83" s="105"/>
      <c r="E83" s="105"/>
      <c r="F83" s="88"/>
      <c r="G83" s="88"/>
      <c r="H83" s="118" t="s">
        <v>97</v>
      </c>
      <c r="I83" s="118"/>
      <c r="J83" s="118" t="s">
        <v>107</v>
      </c>
      <c r="K83" s="118"/>
      <c r="L83" s="72"/>
      <c r="M83" s="72"/>
      <c r="N83" s="72"/>
    </row>
    <row r="84" customFormat="false" ht="13.05" hidden="false" customHeight="false" outlineLevel="0" collapsed="false">
      <c r="A84" s="89"/>
      <c r="B84" s="79" t="s">
        <v>186</v>
      </c>
      <c r="C84" s="79" t="s">
        <v>187</v>
      </c>
      <c r="D84" s="79" t="s">
        <v>188</v>
      </c>
      <c r="E84" s="119"/>
      <c r="F84" s="130" t="s">
        <v>7</v>
      </c>
      <c r="G84" s="130" t="s">
        <v>7</v>
      </c>
      <c r="H84" s="79" t="s">
        <v>168</v>
      </c>
      <c r="I84" s="79" t="s">
        <v>169</v>
      </c>
      <c r="J84" s="79" t="s">
        <v>168</v>
      </c>
      <c r="K84" s="79" t="s">
        <v>169</v>
      </c>
      <c r="L84" s="72"/>
      <c r="M84" s="72"/>
      <c r="N84" s="72"/>
    </row>
    <row r="85" customFormat="false" ht="12.8" hidden="false" customHeight="false" outlineLevel="0" collapsed="false">
      <c r="A85" s="79" t="n">
        <v>1</v>
      </c>
      <c r="B85" s="87" t="n">
        <f aca="false">6.9*6.9+2.9*3.4+5.2*3</f>
        <v>73.07</v>
      </c>
      <c r="C85" s="87" t="n">
        <v>4.2</v>
      </c>
      <c r="D85" s="87" t="n">
        <v>0</v>
      </c>
      <c r="E85" s="119" t="s">
        <v>189</v>
      </c>
      <c r="F85" s="87"/>
      <c r="G85" s="131" t="n">
        <f aca="false">F85 + D85*B85*C85</f>
        <v>0</v>
      </c>
      <c r="H85" s="103" t="n">
        <f aca="false">1230*(G85/3600)*($D$9-$E$9)</f>
        <v>0</v>
      </c>
      <c r="I85" s="103" t="n">
        <f aca="false">3010000*G85/3600*($D$11-$E$11)</f>
        <v>0</v>
      </c>
      <c r="J85" s="103" t="n">
        <f aca="false">1230*(G85/3600)*($D$15-$E$15)</f>
        <v>0</v>
      </c>
      <c r="K85" s="103" t="n">
        <f aca="false">3010000*G85/3600*($D$17-$E$17)</f>
        <v>0</v>
      </c>
      <c r="L85" s="72"/>
    </row>
    <row r="86" customFormat="false" ht="13.05" hidden="false" customHeight="true" outlineLevel="0" collapsed="false">
      <c r="A86" s="112" t="s">
        <v>190</v>
      </c>
      <c r="B86" s="127" t="s">
        <v>191</v>
      </c>
      <c r="C86" s="127"/>
      <c r="D86" s="127"/>
      <c r="E86" s="127"/>
      <c r="F86" s="127"/>
      <c r="G86" s="127"/>
      <c r="H86" s="114" t="n">
        <f aca="false">SUM(H85:H85)</f>
        <v>0</v>
      </c>
      <c r="I86" s="114" t="n">
        <f aca="false">SUM(I85:I85)</f>
        <v>0</v>
      </c>
      <c r="J86" s="114" t="n">
        <f aca="false">SUM(J85:J85)</f>
        <v>0</v>
      </c>
      <c r="K86" s="114" t="n">
        <f aca="false">SUM(K85:K85)</f>
        <v>0</v>
      </c>
      <c r="L86" s="72"/>
    </row>
    <row r="87" customFormat="false" ht="12.8" hidden="false" customHeight="false" outlineLevel="0" collapsed="false">
      <c r="A87" s="132"/>
      <c r="B87" s="115"/>
      <c r="C87" s="115"/>
      <c r="D87" s="115"/>
      <c r="E87" s="115"/>
      <c r="F87" s="133"/>
      <c r="G87" s="133"/>
      <c r="L87" s="72"/>
    </row>
    <row r="88" customFormat="false" ht="13.05" hidden="false" customHeight="true" outlineLevel="0" collapsed="false">
      <c r="A88" s="74" t="s">
        <v>192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2"/>
    </row>
    <row r="89" customFormat="false" ht="12.8" hidden="false" customHeight="false" outlineLevel="0" collapsed="false">
      <c r="A89" s="74"/>
      <c r="B89" s="74"/>
      <c r="C89" s="74"/>
      <c r="D89" s="74"/>
      <c r="E89" s="74"/>
      <c r="F89" s="74"/>
      <c r="G89" s="133"/>
      <c r="L89" s="72"/>
    </row>
    <row r="90" customFormat="false" ht="13.05" hidden="false" customHeight="false" outlineLevel="0" collapsed="false">
      <c r="A90" s="88"/>
      <c r="B90" s="72"/>
      <c r="C90" s="72"/>
      <c r="D90" s="72"/>
      <c r="E90" s="79" t="s">
        <v>97</v>
      </c>
      <c r="F90" s="79" t="s">
        <v>107</v>
      </c>
      <c r="G90" s="72"/>
      <c r="J90" s="79" t="s">
        <v>97</v>
      </c>
      <c r="K90" s="79" t="s">
        <v>107</v>
      </c>
      <c r="L90" s="72"/>
    </row>
    <row r="91" customFormat="false" ht="24.25" hidden="false" customHeight="true" outlineLevel="0" collapsed="false">
      <c r="A91" s="79" t="s">
        <v>193</v>
      </c>
      <c r="B91" s="118" t="s">
        <v>120</v>
      </c>
      <c r="C91" s="118"/>
      <c r="D91" s="118"/>
      <c r="E91" s="79" t="s">
        <v>194</v>
      </c>
      <c r="F91" s="79" t="s">
        <v>194</v>
      </c>
      <c r="G91" s="89"/>
      <c r="H91" s="134"/>
      <c r="I91" s="134"/>
      <c r="J91" s="79"/>
      <c r="K91" s="79"/>
      <c r="L91" s="135"/>
    </row>
    <row r="92" customFormat="false" ht="13.8" hidden="false" customHeight="true" outlineLevel="0" collapsed="false">
      <c r="A92" s="79" t="n">
        <v>1</v>
      </c>
      <c r="B92" s="124" t="s">
        <v>195</v>
      </c>
      <c r="C92" s="124"/>
      <c r="D92" s="124"/>
      <c r="E92" s="103" t="n">
        <f aca="false">I51</f>
        <v>6233.0677</v>
      </c>
      <c r="F92" s="103" t="n">
        <f aca="false">K51</f>
        <v>3515.08397</v>
      </c>
      <c r="G92" s="135"/>
      <c r="H92" s="136" t="s">
        <v>196</v>
      </c>
      <c r="I92" s="136"/>
      <c r="J92" s="137" t="n">
        <f aca="false">(E97/E102)</f>
        <v>0.972832557574777</v>
      </c>
      <c r="K92" s="137" t="n">
        <f aca="false">(F97/F102)</f>
        <v>0.965568410351262</v>
      </c>
      <c r="L92" s="72"/>
    </row>
    <row r="93" customFormat="false" ht="13.8" hidden="false" customHeight="true" outlineLevel="0" collapsed="false">
      <c r="A93" s="79" t="n">
        <v>2</v>
      </c>
      <c r="B93" s="124" t="s">
        <v>197</v>
      </c>
      <c r="C93" s="124"/>
      <c r="D93" s="124"/>
      <c r="E93" s="103" t="n">
        <f aca="false">H65</f>
        <v>0</v>
      </c>
      <c r="F93" s="103" t="n">
        <f aca="false">K65</f>
        <v>0</v>
      </c>
      <c r="G93" s="138"/>
      <c r="H93" s="136" t="s">
        <v>198</v>
      </c>
      <c r="I93" s="136"/>
      <c r="J93" s="139" t="n">
        <f aca="false">ROUND($E$107*3600/($B$85*$C$85),0)</f>
        <v>18</v>
      </c>
      <c r="K93" s="139" t="n">
        <f aca="false">ROUND($F$107*3600/($B$85*$C$85),0)</f>
        <v>20</v>
      </c>
      <c r="L93" s="72"/>
    </row>
    <row r="94" customFormat="false" ht="14.9" hidden="false" customHeight="true" outlineLevel="0" collapsed="false">
      <c r="A94" s="79" t="n">
        <v>3</v>
      </c>
      <c r="B94" s="124" t="s">
        <v>199</v>
      </c>
      <c r="C94" s="124"/>
      <c r="D94" s="124"/>
      <c r="E94" s="103" t="n">
        <f aca="false">G70</f>
        <v>300</v>
      </c>
      <c r="F94" s="103" t="n">
        <f aca="false">G70</f>
        <v>300</v>
      </c>
      <c r="G94" s="138"/>
      <c r="H94" s="136" t="s">
        <v>200</v>
      </c>
      <c r="I94" s="136"/>
      <c r="J94" s="139" t="n">
        <f aca="false">$E$9-($I$51+$H$65)/(SUMPRODUCT($G$28:$G$43, $F$28:$F$43) + $F$47*$G$47+ $F$49*$G$49)</f>
        <v>-73.7213453363802</v>
      </c>
      <c r="K94" s="139" t="n">
        <f aca="false">$E$15-($K$51+$K$65)/(SUMPRODUCT($G$28:$G$43, $F$28:$F$43) + $F$47*$G$47+ $F$49*$G$49)</f>
        <v>-31.9812148324242</v>
      </c>
      <c r="L94" s="72"/>
    </row>
    <row r="95" customFormat="false" ht="13.8" hidden="false" customHeight="true" outlineLevel="0" collapsed="false">
      <c r="A95" s="79" t="n">
        <v>4</v>
      </c>
      <c r="B95" s="124" t="s">
        <v>201</v>
      </c>
      <c r="C95" s="124"/>
      <c r="D95" s="124"/>
      <c r="E95" s="103" t="n">
        <f aca="false">H81</f>
        <v>6000</v>
      </c>
      <c r="F95" s="103" t="n">
        <f aca="false">H81</f>
        <v>6000</v>
      </c>
      <c r="G95" s="138"/>
      <c r="H95" s="136" t="s">
        <v>202</v>
      </c>
      <c r="I95" s="136"/>
      <c r="J95" s="140" t="n">
        <f aca="false">$M$54</f>
        <v>6</v>
      </c>
      <c r="K95" s="140" t="n">
        <f aca="false">$N$54</f>
        <v>6</v>
      </c>
      <c r="L95" s="72"/>
    </row>
    <row r="96" customFormat="false" ht="13.05" hidden="false" customHeight="true" outlineLevel="0" collapsed="false">
      <c r="A96" s="79" t="n">
        <v>5</v>
      </c>
      <c r="B96" s="124" t="s">
        <v>203</v>
      </c>
      <c r="C96" s="124"/>
      <c r="D96" s="124"/>
      <c r="E96" s="103" t="n">
        <f aca="false">H86</f>
        <v>0</v>
      </c>
      <c r="F96" s="103" t="n">
        <f aca="false">J86</f>
        <v>0</v>
      </c>
      <c r="L96" s="72"/>
    </row>
    <row r="97" customFormat="false" ht="13.05" hidden="false" customHeight="true" outlineLevel="0" collapsed="false">
      <c r="A97" s="141" t="s">
        <v>204</v>
      </c>
      <c r="B97" s="142" t="s">
        <v>205</v>
      </c>
      <c r="C97" s="142"/>
      <c r="D97" s="142"/>
      <c r="E97" s="143" t="n">
        <f aca="false">SUM(E92:E96)</f>
        <v>12533.0677</v>
      </c>
      <c r="F97" s="143" t="n">
        <f aca="false">SUM(F92:F96)</f>
        <v>9815.08397</v>
      </c>
      <c r="L97" s="72"/>
    </row>
    <row r="98" customFormat="false" ht="13.05" hidden="false" customHeight="true" outlineLevel="0" collapsed="false">
      <c r="A98" s="79" t="n">
        <v>1</v>
      </c>
      <c r="B98" s="124" t="s">
        <v>199</v>
      </c>
      <c r="C98" s="124"/>
      <c r="D98" s="124"/>
      <c r="E98" s="103" t="n">
        <f aca="false">H70</f>
        <v>350</v>
      </c>
      <c r="F98" s="103" t="n">
        <f aca="false">H70</f>
        <v>350</v>
      </c>
      <c r="L98" s="72"/>
    </row>
    <row r="99" customFormat="false" ht="13.05" hidden="false" customHeight="true" outlineLevel="0" collapsed="false">
      <c r="A99" s="79" t="n">
        <v>2</v>
      </c>
      <c r="B99" s="124" t="s">
        <v>206</v>
      </c>
      <c r="C99" s="124"/>
      <c r="D99" s="124"/>
      <c r="E99" s="103" t="n">
        <f aca="false">I81</f>
        <v>0</v>
      </c>
      <c r="F99" s="103" t="n">
        <f aca="false">I81</f>
        <v>0</v>
      </c>
      <c r="L99" s="72"/>
    </row>
    <row r="100" customFormat="false" ht="13.05" hidden="false" customHeight="true" outlineLevel="0" collapsed="false">
      <c r="A100" s="79" t="n">
        <v>3</v>
      </c>
      <c r="B100" s="124" t="s">
        <v>203</v>
      </c>
      <c r="C100" s="124"/>
      <c r="D100" s="124"/>
      <c r="E100" s="103" t="n">
        <f aca="false">I86</f>
        <v>0</v>
      </c>
      <c r="F100" s="103" t="n">
        <f aca="false">K86</f>
        <v>0</v>
      </c>
      <c r="L100" s="72"/>
    </row>
    <row r="101" customFormat="false" ht="13.05" hidden="false" customHeight="true" outlineLevel="0" collapsed="false">
      <c r="A101" s="141" t="s">
        <v>207</v>
      </c>
      <c r="B101" s="142" t="s">
        <v>208</v>
      </c>
      <c r="C101" s="142"/>
      <c r="D101" s="142"/>
      <c r="E101" s="143" t="n">
        <f aca="false">SUM(E98:E100)</f>
        <v>350</v>
      </c>
      <c r="F101" s="143" t="n">
        <f aca="false">SUM(F98:F100)</f>
        <v>350</v>
      </c>
      <c r="L101" s="72"/>
    </row>
    <row r="102" customFormat="false" ht="13.05" hidden="false" customHeight="true" outlineLevel="0" collapsed="false">
      <c r="A102" s="141" t="s">
        <v>209</v>
      </c>
      <c r="B102" s="142" t="s">
        <v>210</v>
      </c>
      <c r="C102" s="142"/>
      <c r="D102" s="142"/>
      <c r="E102" s="143" t="n">
        <f aca="false">E97+E101</f>
        <v>12883.0677</v>
      </c>
      <c r="F102" s="143" t="n">
        <f aca="false">F97+F101</f>
        <v>10165.08397</v>
      </c>
      <c r="L102" s="72"/>
    </row>
    <row r="103" s="147" customFormat="true" ht="12.8" hidden="false" customHeight="true" outlineLevel="0" collapsed="false">
      <c r="A103" s="79"/>
      <c r="B103" s="124" t="s">
        <v>211</v>
      </c>
      <c r="C103" s="124"/>
      <c r="D103" s="124"/>
      <c r="E103" s="144" t="n">
        <f aca="false">E115</f>
        <v>13.0526139260683</v>
      </c>
      <c r="F103" s="145" t="n">
        <v>15</v>
      </c>
      <c r="G103" s="70"/>
      <c r="H103" s="70"/>
      <c r="I103" s="70"/>
      <c r="J103" s="70"/>
      <c r="K103" s="70"/>
      <c r="L103" s="146"/>
    </row>
    <row r="104" customFormat="false" ht="13.05" hidden="false" customHeight="true" outlineLevel="0" collapsed="false">
      <c r="A104" s="79"/>
      <c r="B104" s="124" t="s">
        <v>212</v>
      </c>
      <c r="C104" s="124"/>
      <c r="D104" s="124"/>
      <c r="E104" s="148" t="n">
        <f aca="false">E97/(1230*($E$9-E103))</f>
        <v>1.1388226517515</v>
      </c>
      <c r="F104" s="148" t="n">
        <f aca="false">F97/(1230*($E$15-F103))</f>
        <v>1.13996329500581</v>
      </c>
      <c r="L104" s="72"/>
    </row>
    <row r="105" customFormat="false" ht="13.05" hidden="false" customHeight="true" outlineLevel="0" collapsed="false">
      <c r="A105" s="141" t="s">
        <v>213</v>
      </c>
      <c r="B105" s="142" t="s">
        <v>214</v>
      </c>
      <c r="C105" s="142"/>
      <c r="D105" s="142"/>
      <c r="E105" s="143" t="n">
        <f aca="false">1230*E104*1</f>
        <v>1400.75186165435</v>
      </c>
      <c r="F105" s="143" t="n">
        <f aca="false">1230*F104*1</f>
        <v>1402.15485285714</v>
      </c>
      <c r="G105" s="73"/>
      <c r="L105" s="72"/>
    </row>
    <row r="106" s="150" customFormat="true" ht="13.05" hidden="false" customHeight="true" outlineLevel="0" collapsed="false">
      <c r="A106" s="141" t="s">
        <v>215</v>
      </c>
      <c r="B106" s="142" t="s">
        <v>216</v>
      </c>
      <c r="C106" s="142"/>
      <c r="D106" s="142"/>
      <c r="E106" s="149" t="n">
        <f aca="false">E123*1000</f>
        <v>3300</v>
      </c>
      <c r="F106" s="149" t="n">
        <f aca="false">F123*1000</f>
        <v>3640</v>
      </c>
      <c r="G106" s="73"/>
      <c r="H106" s="70"/>
      <c r="I106" s="70"/>
      <c r="J106" s="70"/>
      <c r="K106" s="70"/>
      <c r="L106" s="73"/>
      <c r="AMJ106" s="71"/>
    </row>
    <row r="107" s="150" customFormat="true" ht="13.05" hidden="false" customHeight="true" outlineLevel="0" collapsed="false">
      <c r="A107" s="79"/>
      <c r="B107" s="82" t="s">
        <v>217</v>
      </c>
      <c r="C107" s="82"/>
      <c r="D107" s="82"/>
      <c r="E107" s="148" t="n">
        <f aca="false">(E97+E105+E106)/(1230*($E$9-E103))</f>
        <v>1.56595851572797</v>
      </c>
      <c r="F107" s="148" t="n">
        <f aca="false">(F97+F105+F106)/(1230*($E$15-F103))</f>
        <v>1.72557942193463</v>
      </c>
      <c r="G107" s="72"/>
      <c r="H107" s="70"/>
      <c r="I107" s="70"/>
      <c r="J107" s="70"/>
      <c r="K107" s="70"/>
      <c r="L107" s="73"/>
      <c r="AMJ107" s="71"/>
    </row>
    <row r="108" customFormat="false" ht="24.25" hidden="false" customHeight="true" outlineLevel="0" collapsed="false">
      <c r="A108" s="79"/>
      <c r="B108" s="124" t="s">
        <v>218</v>
      </c>
      <c r="C108" s="124"/>
      <c r="D108" s="124"/>
      <c r="E108" s="151" t="n">
        <f aca="false">$E$11-E101/(3010000*E107)</f>
        <v>0.00897767162720884</v>
      </c>
      <c r="F108" s="151" t="n">
        <f aca="false">$E$17-F101/(3010000*F107)</f>
        <v>0.00980744270414845</v>
      </c>
      <c r="L108" s="72"/>
    </row>
    <row r="109" customFormat="false" ht="12.8" hidden="false" customHeight="true" outlineLevel="0" collapsed="false">
      <c r="A109" s="79"/>
      <c r="B109" s="124" t="s">
        <v>219</v>
      </c>
      <c r="C109" s="124"/>
      <c r="D109" s="124"/>
      <c r="E109" s="152" t="n">
        <v>1</v>
      </c>
      <c r="F109" s="152" t="n">
        <v>1</v>
      </c>
      <c r="L109" s="72"/>
    </row>
    <row r="110" customFormat="false" ht="12.8" hidden="false" customHeight="true" outlineLevel="0" collapsed="false">
      <c r="A110" s="79"/>
      <c r="B110" s="124" t="s">
        <v>220</v>
      </c>
      <c r="C110" s="124"/>
      <c r="D110" s="124"/>
      <c r="E110" s="152" t="n">
        <v>0.05</v>
      </c>
      <c r="F110" s="152" t="n">
        <v>0.05</v>
      </c>
      <c r="L110" s="72"/>
    </row>
    <row r="111" customFormat="false" ht="13.05" hidden="false" customHeight="true" outlineLevel="0" collapsed="false">
      <c r="A111" s="79"/>
      <c r="B111" s="124" t="s">
        <v>221</v>
      </c>
      <c r="C111" s="124"/>
      <c r="D111" s="124"/>
      <c r="E111" s="153" t="n">
        <f aca="false">E109*($D$9-$E$9)+$E$9</f>
        <v>37.2</v>
      </c>
      <c r="F111" s="153" t="n">
        <f aca="false">F109*($D$15-$E$15)+$E$15</f>
        <v>32.3</v>
      </c>
      <c r="L111" s="72"/>
    </row>
    <row r="112" customFormat="false" ht="13.05" hidden="false" customHeight="true" outlineLevel="0" collapsed="false">
      <c r="A112" s="79"/>
      <c r="B112" s="124" t="s">
        <v>222</v>
      </c>
      <c r="C112" s="124"/>
      <c r="D112" s="124"/>
      <c r="E112" s="151" t="n">
        <f aca="false">E109*($D$11-$E$11)+$E$11</f>
        <v>0.016834758778653</v>
      </c>
      <c r="F112" s="151" t="n">
        <f aca="false">F109*($D$17-$E$17)+$E$17</f>
        <v>0.0221812811253068</v>
      </c>
      <c r="L112" s="72"/>
    </row>
    <row r="113" customFormat="false" ht="14.9" hidden="false" customHeight="true" outlineLevel="0" collapsed="false">
      <c r="A113" s="79"/>
      <c r="B113" s="124" t="s">
        <v>223</v>
      </c>
      <c r="C113" s="124"/>
      <c r="D113" s="124"/>
      <c r="E113" s="151" t="n">
        <f aca="false">(E108-E110*E112)/(1-E110)</f>
        <v>0.00856414072450125</v>
      </c>
      <c r="F113" s="151" t="n">
        <f aca="false">(F108-F110*F112)/(1-F110)</f>
        <v>0.00915618805040328</v>
      </c>
      <c r="L113" s="72"/>
    </row>
    <row r="114" s="147" customFormat="true" ht="14.9" hidden="false" customHeight="true" outlineLevel="0" collapsed="false">
      <c r="A114" s="154"/>
      <c r="B114" s="155" t="s">
        <v>224</v>
      </c>
      <c r="C114" s="155"/>
      <c r="D114" s="155"/>
      <c r="E114" s="156" t="n">
        <f aca="false">1730.63/(8.07131-LOG10(E113*101325/(0.62198+E108)*0.00750062))-233.426</f>
        <v>11.7816988695456</v>
      </c>
      <c r="F114" s="156" t="n">
        <f aca="false">1730.63/(8.07131-LOG10(F113*101325/(0.62198+F108)*0.00750062))-233.426</f>
        <v>12.7744853974862</v>
      </c>
      <c r="L114" s="146"/>
    </row>
    <row r="115" customFormat="false" ht="13.05" hidden="false" customHeight="true" outlineLevel="0" collapsed="false">
      <c r="A115" s="79"/>
      <c r="B115" s="124" t="s">
        <v>225</v>
      </c>
      <c r="C115" s="124"/>
      <c r="D115" s="124"/>
      <c r="E115" s="153" t="n">
        <f aca="false">E114+E110*(E111-E114)</f>
        <v>13.0526139260683</v>
      </c>
      <c r="F115" s="153" t="n">
        <f aca="false">F114+F110*(F111-F114)</f>
        <v>13.7507611276119</v>
      </c>
      <c r="L115" s="72"/>
    </row>
    <row r="116" customFormat="false" ht="13.8" hidden="false" customHeight="true" outlineLevel="0" collapsed="false">
      <c r="A116" s="141" t="s">
        <v>226</v>
      </c>
      <c r="B116" s="157" t="s">
        <v>227</v>
      </c>
      <c r="C116" s="157"/>
      <c r="D116" s="157"/>
      <c r="E116" s="143" t="n">
        <f aca="false">1230*E107*(E111-E115)</f>
        <v>46510.9799717045</v>
      </c>
      <c r="F116" s="143" t="n">
        <f aca="false">1230*F107*(F111-F115)</f>
        <v>39370.0674156136</v>
      </c>
      <c r="G116" s="135"/>
      <c r="H116" s="135"/>
      <c r="I116" s="135"/>
      <c r="J116" s="135"/>
      <c r="K116" s="135"/>
      <c r="L116" s="72"/>
    </row>
    <row r="117" s="150" customFormat="true" ht="13.05" hidden="false" customHeight="true" outlineLevel="0" collapsed="false">
      <c r="A117" s="141" t="s">
        <v>228</v>
      </c>
      <c r="B117" s="157" t="s">
        <v>229</v>
      </c>
      <c r="C117" s="157"/>
      <c r="D117" s="157"/>
      <c r="E117" s="143" t="n">
        <f aca="false">3010000*E107*(E112-E108)</f>
        <v>37034.6563261987</v>
      </c>
      <c r="F117" s="143" t="n">
        <f aca="false">3010000*F107*(F112-F108)</f>
        <v>64269.6432591838</v>
      </c>
      <c r="G117" s="74" t="s">
        <v>230</v>
      </c>
      <c r="H117" s="74"/>
      <c r="I117" s="74"/>
      <c r="J117" s="74"/>
      <c r="K117" s="74"/>
      <c r="AMJ117" s="71"/>
    </row>
    <row r="118" s="150" customFormat="true" ht="13.05" hidden="false" customHeight="true" outlineLevel="0" collapsed="false">
      <c r="A118" s="141" t="s">
        <v>231</v>
      </c>
      <c r="B118" s="157" t="s">
        <v>232</v>
      </c>
      <c r="C118" s="157"/>
      <c r="D118" s="157"/>
      <c r="E118" s="143" t="n">
        <f aca="false">E116+E117</f>
        <v>83545.6362979032</v>
      </c>
      <c r="F118" s="143" t="n">
        <f aca="false">F116+F117</f>
        <v>103639.710674797</v>
      </c>
      <c r="G118" s="70"/>
      <c r="H118" s="105"/>
      <c r="I118" s="70"/>
      <c r="J118" s="70"/>
      <c r="K118" s="70"/>
      <c r="AMJ118" s="71"/>
    </row>
    <row r="119" s="150" customFormat="true" ht="12.8" hidden="false" customHeight="true" outlineLevel="0" collapsed="false">
      <c r="A119" s="141"/>
      <c r="B119" s="157" t="s">
        <v>233</v>
      </c>
      <c r="C119" s="157"/>
      <c r="D119" s="157"/>
      <c r="E119" s="158" t="n">
        <f aca="false">E118/3517</f>
        <v>23.75480133577</v>
      </c>
      <c r="F119" s="158" t="n">
        <f aca="false">F118/3517</f>
        <v>29.4682145791292</v>
      </c>
      <c r="G119" s="159" t="s">
        <v>204</v>
      </c>
      <c r="H119" s="160" t="s">
        <v>234</v>
      </c>
      <c r="I119" s="160"/>
      <c r="J119" s="161" t="n">
        <f aca="false">MAX(E119:F119)*1.1</f>
        <v>32.4150360370421</v>
      </c>
      <c r="K119" s="150" t="s">
        <v>17</v>
      </c>
      <c r="AMJ119" s="71"/>
    </row>
    <row r="120" customFormat="false" ht="12.8" hidden="false" customHeight="true" outlineLevel="0" collapsed="false">
      <c r="A120" s="162" t="s">
        <v>235</v>
      </c>
      <c r="B120" s="163" t="s">
        <v>236</v>
      </c>
      <c r="C120" s="163"/>
      <c r="D120" s="163"/>
      <c r="E120" s="164" t="n">
        <f aca="false">1230*E107*(E103-E115)/1000</f>
        <v>0</v>
      </c>
      <c r="F120" s="164" t="n">
        <f aca="false">1230*F107*(F103-F115)/1000</f>
        <v>2.65146289626672</v>
      </c>
      <c r="G120" s="159" t="s">
        <v>207</v>
      </c>
      <c r="H120" s="160" t="s">
        <v>237</v>
      </c>
      <c r="I120" s="160"/>
      <c r="J120" s="165" t="n">
        <f aca="false">MAX(E121:F121)*1.1</f>
        <v>6833.29451086113</v>
      </c>
      <c r="K120" s="150" t="s">
        <v>7</v>
      </c>
      <c r="L120" s="72"/>
    </row>
    <row r="121" customFormat="false" ht="24.25" hidden="false" customHeight="true" outlineLevel="0" collapsed="false">
      <c r="A121" s="141" t="s">
        <v>238</v>
      </c>
      <c r="B121" s="157" t="s">
        <v>239</v>
      </c>
      <c r="C121" s="157"/>
      <c r="D121" s="157"/>
      <c r="E121" s="143" t="n">
        <f aca="false">E107*3600</f>
        <v>5637.45065662069</v>
      </c>
      <c r="F121" s="143" t="n">
        <f aca="false">F107*3600</f>
        <v>6212.08591896466</v>
      </c>
      <c r="G121" s="74"/>
      <c r="H121" s="166" t="s">
        <v>240</v>
      </c>
      <c r="I121" s="166"/>
      <c r="J121" s="167"/>
      <c r="K121" s="74"/>
    </row>
    <row r="122" customFormat="false" ht="12.8" hidden="false" customHeight="true" outlineLevel="0" collapsed="false">
      <c r="A122" s="79"/>
      <c r="B122" s="82" t="s">
        <v>241</v>
      </c>
      <c r="C122" s="82"/>
      <c r="D122" s="82"/>
      <c r="E122" s="168" t="n">
        <v>1400</v>
      </c>
      <c r="F122" s="168" t="n">
        <v>1400</v>
      </c>
      <c r="H122" s="169" t="s">
        <v>242</v>
      </c>
      <c r="I122" s="169"/>
      <c r="J122" s="170" t="n">
        <f aca="false">ROUND((J120/1.7)/J119,0)</f>
        <v>124</v>
      </c>
    </row>
    <row r="123" customFormat="false" ht="13.05" hidden="false" customHeight="true" outlineLevel="0" collapsed="false">
      <c r="A123" s="79"/>
      <c r="B123" s="82" t="s">
        <v>243</v>
      </c>
      <c r="C123" s="82"/>
      <c r="D123" s="82"/>
      <c r="E123" s="148" t="n">
        <f aca="false">ROUNDUP(E107*E122/(0.7*0.95)/1000,2)</f>
        <v>3.3</v>
      </c>
      <c r="F123" s="148" t="n">
        <f aca="false">ROUNDUP(F107*F122/(0.7*0.95)/1000,2)</f>
        <v>3.64</v>
      </c>
      <c r="H123" s="169" t="s">
        <v>244</v>
      </c>
      <c r="I123" s="169"/>
      <c r="J123" s="170" t="n">
        <f aca="false">ROUND(B85/J119,1)</f>
        <v>2.3</v>
      </c>
    </row>
    <row r="124" customFormat="false" ht="13.8" hidden="false" customHeight="false" outlineLevel="0" collapsed="false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</row>
    <row r="125" s="70" customFormat="true" ht="13.8" hidden="false" customHeight="false" outlineLevel="0" collapsed="false">
      <c r="G125" s="135"/>
      <c r="H125" s="135"/>
      <c r="I125" s="135"/>
      <c r="J125" s="135"/>
      <c r="K125" s="135"/>
      <c r="AMJ125" s="71"/>
    </row>
    <row r="126" s="70" customFormat="true" ht="13.8" hidden="false" customHeight="false" outlineLevel="0" collapsed="false">
      <c r="G126" s="135"/>
      <c r="H126" s="135"/>
      <c r="I126" s="135"/>
      <c r="J126" s="135"/>
      <c r="K126" s="135"/>
      <c r="AMJ126" s="71"/>
    </row>
    <row r="127" s="70" customFormat="true" ht="12.8" hidden="false" customHeight="false" outlineLevel="0" collapsed="false">
      <c r="AMJ127" s="71"/>
    </row>
    <row r="128" s="70" customFormat="true" ht="12.8" hidden="false" customHeight="false" outlineLevel="0" collapsed="false">
      <c r="AMJ128" s="71"/>
    </row>
  </sheetData>
  <mergeCells count="108">
    <mergeCell ref="A2:K2"/>
    <mergeCell ref="B4:G4"/>
    <mergeCell ref="B5:G5"/>
    <mergeCell ref="E6:G6"/>
    <mergeCell ref="A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F53:H53"/>
    <mergeCell ref="I53:K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0:F70"/>
    <mergeCell ref="A72:E72"/>
    <mergeCell ref="B81:G81"/>
    <mergeCell ref="H83:I83"/>
    <mergeCell ref="J83:K83"/>
    <mergeCell ref="B86:G86"/>
    <mergeCell ref="A88:K88"/>
    <mergeCell ref="B91:D91"/>
    <mergeCell ref="H91:I91"/>
    <mergeCell ref="B92:D92"/>
    <mergeCell ref="H92:I92"/>
    <mergeCell ref="B93:D93"/>
    <mergeCell ref="H93:I93"/>
    <mergeCell ref="B94:D94"/>
    <mergeCell ref="H94:I94"/>
    <mergeCell ref="B95:D95"/>
    <mergeCell ref="H95:I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G117:K117"/>
    <mergeCell ref="B118:D118"/>
    <mergeCell ref="B119:D119"/>
    <mergeCell ref="H119:I119"/>
    <mergeCell ref="B120:D120"/>
    <mergeCell ref="H120:I120"/>
    <mergeCell ref="B121:D121"/>
    <mergeCell ref="H121:I121"/>
    <mergeCell ref="B122:D122"/>
    <mergeCell ref="H122:I122"/>
    <mergeCell ref="B123:D123"/>
    <mergeCell ref="H123:I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1" man="true" max="16383" min="0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115" zoomScalePageLayoutView="130" workbookViewId="0">
      <selection pane="topLeft" activeCell="B6" activeCellId="0" sqref="B6"/>
    </sheetView>
  </sheetViews>
  <sheetFormatPr defaultColWidth="9.13671875" defaultRowHeight="12.8" zeroHeight="false" outlineLevelRow="0" outlineLevelCol="0"/>
  <cols>
    <col collapsed="false" customWidth="true" hidden="false" outlineLevel="0" max="1" min="1" style="69" width="11.64"/>
    <col collapsed="false" customWidth="true" hidden="false" outlineLevel="0" max="2" min="2" style="69" width="15.8"/>
    <col collapsed="false" customWidth="true" hidden="false" outlineLevel="0" max="3" min="3" style="69" width="9.83"/>
    <col collapsed="false" customWidth="true" hidden="false" outlineLevel="0" max="4" min="4" style="69" width="9.24"/>
    <col collapsed="false" customWidth="true" hidden="false" outlineLevel="0" max="5" min="5" style="70" width="9.51"/>
    <col collapsed="false" customWidth="true" hidden="false" outlineLevel="0" max="6" min="6" style="70" width="8.14"/>
    <col collapsed="false" customWidth="true" hidden="false" outlineLevel="0" max="7" min="7" style="70" width="8.79"/>
    <col collapsed="false" customWidth="true" hidden="false" outlineLevel="0" max="8" min="8" style="70" width="13.55"/>
    <col collapsed="false" customWidth="true" hidden="false" outlineLevel="0" max="9" min="9" style="70" width="8.55"/>
    <col collapsed="false" customWidth="true" hidden="false" outlineLevel="0" max="10" min="10" style="70" width="10.25"/>
    <col collapsed="false" customWidth="false" hidden="false" outlineLevel="0" max="12" min="11" style="70" width="9.13"/>
    <col collapsed="false" customWidth="true" hidden="false" outlineLevel="0" max="13" min="13" style="70" width="11.94"/>
    <col collapsed="false" customWidth="false" hidden="false" outlineLevel="0" max="1023" min="14" style="70" width="9.13"/>
    <col collapsed="false" customWidth="false" hidden="false" outlineLevel="0" max="1024" min="1024" style="71" width="9.13"/>
  </cols>
  <sheetData>
    <row r="1" customFormat="false" ht="12.8" hidden="false" customHeight="false" outlineLevel="0" collapsed="false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3.05" hidden="false" customHeight="true" outlineLevel="0" collapsed="false">
      <c r="A2" s="74" t="s">
        <v>86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customFormat="false" ht="12.8" hidden="false" customHeight="false" outlineLevel="0" collapsed="false">
      <c r="A3" s="72"/>
      <c r="B3" s="72"/>
      <c r="C3" s="72"/>
      <c r="D3" s="72"/>
      <c r="E3" s="72"/>
      <c r="F3" s="72"/>
      <c r="G3" s="76"/>
      <c r="H3" s="72"/>
      <c r="I3" s="72"/>
      <c r="J3" s="72"/>
      <c r="K3" s="72"/>
    </row>
    <row r="4" customFormat="false" ht="13.05" hidden="false" customHeight="false" outlineLevel="0" collapsed="false">
      <c r="A4" s="77" t="s">
        <v>87</v>
      </c>
      <c r="B4" s="77"/>
      <c r="C4" s="77"/>
      <c r="D4" s="77"/>
      <c r="E4" s="77"/>
      <c r="F4" s="77"/>
      <c r="G4" s="77"/>
      <c r="H4" s="78" t="s">
        <v>88</v>
      </c>
      <c r="I4" s="79"/>
      <c r="J4" s="80" t="s">
        <v>89</v>
      </c>
      <c r="K4" s="81"/>
    </row>
    <row r="5" customFormat="false" ht="12.8" hidden="false" customHeight="true" outlineLevel="0" collapsed="false">
      <c r="A5" s="82" t="s">
        <v>90</v>
      </c>
      <c r="B5" s="83" t="s">
        <v>245</v>
      </c>
      <c r="C5" s="83"/>
      <c r="D5" s="83"/>
      <c r="E5" s="83"/>
      <c r="F5" s="83"/>
      <c r="G5" s="83"/>
      <c r="H5" s="84" t="s">
        <v>92</v>
      </c>
      <c r="I5" s="79"/>
      <c r="J5" s="80" t="s">
        <v>89</v>
      </c>
      <c r="K5" s="85"/>
      <c r="L5" s="86"/>
    </row>
    <row r="6" customFormat="false" ht="13.05" hidden="false" customHeight="false" outlineLevel="0" collapsed="false">
      <c r="A6" s="80" t="s">
        <v>93</v>
      </c>
      <c r="B6" s="87" t="n">
        <v>1</v>
      </c>
      <c r="C6" s="79" t="s">
        <v>94</v>
      </c>
      <c r="D6" s="87" t="n">
        <v>1</v>
      </c>
      <c r="E6" s="80"/>
      <c r="F6" s="80"/>
      <c r="G6" s="80"/>
      <c r="H6" s="84" t="s">
        <v>95</v>
      </c>
      <c r="I6" s="79"/>
      <c r="J6" s="80" t="s">
        <v>89</v>
      </c>
      <c r="K6" s="81"/>
      <c r="L6" s="72"/>
    </row>
    <row r="7" customFormat="false" ht="13.05" hidden="false" customHeight="true" outlineLevel="0" collapsed="false">
      <c r="A7" s="88" t="s">
        <v>96</v>
      </c>
      <c r="B7" s="88"/>
      <c r="C7" s="88"/>
      <c r="D7" s="88"/>
      <c r="E7" s="88"/>
      <c r="F7" s="72"/>
      <c r="G7" s="72"/>
      <c r="H7" s="72"/>
      <c r="I7" s="89"/>
      <c r="J7" s="72"/>
      <c r="K7" s="90"/>
      <c r="L7" s="72"/>
    </row>
    <row r="8" customFormat="false" ht="13.05" hidden="false" customHeight="true" outlineLevel="0" collapsed="false">
      <c r="A8" s="91" t="s">
        <v>97</v>
      </c>
      <c r="B8" s="91"/>
      <c r="C8" s="80"/>
      <c r="D8" s="92" t="s">
        <v>98</v>
      </c>
      <c r="E8" s="92" t="s">
        <v>99</v>
      </c>
      <c r="F8" s="92" t="s">
        <v>100</v>
      </c>
      <c r="G8" s="72"/>
      <c r="H8" s="93" t="s">
        <v>101</v>
      </c>
      <c r="I8" s="89"/>
      <c r="J8" s="72"/>
      <c r="K8" s="90"/>
      <c r="L8" s="72"/>
    </row>
    <row r="9" customFormat="false" ht="12.8" hidden="false" customHeight="true" outlineLevel="0" collapsed="false">
      <c r="A9" s="82" t="s">
        <v>102</v>
      </c>
      <c r="B9" s="82"/>
      <c r="C9" s="80"/>
      <c r="D9" s="94" t="n">
        <v>37.2</v>
      </c>
      <c r="E9" s="87" t="n">
        <v>22</v>
      </c>
      <c r="F9" s="80"/>
      <c r="G9" s="72"/>
      <c r="H9" s="95" t="s">
        <v>103</v>
      </c>
      <c r="I9" s="89"/>
      <c r="J9" s="72"/>
      <c r="K9" s="90"/>
      <c r="L9" s="72"/>
    </row>
    <row r="10" customFormat="false" ht="12.8" hidden="false" customHeight="true" outlineLevel="0" collapsed="false">
      <c r="A10" s="82" t="s">
        <v>104</v>
      </c>
      <c r="B10" s="82"/>
      <c r="C10" s="80"/>
      <c r="D10" s="94" t="n">
        <v>41</v>
      </c>
      <c r="E10" s="87" t="n">
        <v>56</v>
      </c>
      <c r="F10" s="80"/>
      <c r="G10" s="72"/>
      <c r="H10" s="96"/>
      <c r="I10" s="89"/>
      <c r="J10" s="72"/>
      <c r="K10" s="90"/>
      <c r="L10" s="72"/>
    </row>
    <row r="11" customFormat="false" ht="13.05" hidden="false" customHeight="true" outlineLevel="0" collapsed="false">
      <c r="A11" s="82" t="s">
        <v>105</v>
      </c>
      <c r="B11" s="82"/>
      <c r="C11" s="80"/>
      <c r="D11" s="97" t="n">
        <f aca="false">0.62198/(101325/(EXP(77.345+0.0057*(273+D9)- 7235/(273+D9))/(273+D9)^8.2)-1)*D10/100</f>
        <v>0.016834758778653</v>
      </c>
      <c r="E11" s="97" t="n">
        <f aca="false">0.62198/(101325/(EXP(77.345+0.0057*(273+E9)- 7235/(273+E9))/(273+E9)^8.2)-1)*E10/100</f>
        <v>0.00921650634422561</v>
      </c>
      <c r="F11" s="80"/>
      <c r="G11" s="72"/>
      <c r="H11" s="72"/>
      <c r="I11" s="89"/>
      <c r="J11" s="72"/>
      <c r="K11" s="90"/>
      <c r="L11" s="72"/>
    </row>
    <row r="12" customFormat="false" ht="13.05" hidden="false" customHeight="true" outlineLevel="0" collapsed="false">
      <c r="A12" s="82" t="s">
        <v>106</v>
      </c>
      <c r="B12" s="82"/>
      <c r="C12" s="80"/>
      <c r="D12" s="79"/>
      <c r="E12" s="79"/>
      <c r="F12" s="87" t="n">
        <v>10.5</v>
      </c>
      <c r="G12" s="72"/>
      <c r="H12" s="72"/>
      <c r="I12" s="89"/>
      <c r="J12" s="72"/>
      <c r="K12" s="90"/>
      <c r="L12" s="72"/>
    </row>
    <row r="13" customFormat="false" ht="12.8" hidden="false" customHeight="false" outlineLevel="0" collapsed="false">
      <c r="A13" s="82"/>
      <c r="B13" s="82"/>
      <c r="C13" s="80"/>
      <c r="D13" s="79"/>
      <c r="E13" s="79"/>
      <c r="F13" s="79"/>
      <c r="G13" s="72"/>
      <c r="H13" s="72"/>
      <c r="I13" s="89"/>
      <c r="J13" s="72"/>
      <c r="K13" s="90"/>
      <c r="L13" s="72"/>
    </row>
    <row r="14" customFormat="false" ht="13.05" hidden="false" customHeight="true" outlineLevel="0" collapsed="false">
      <c r="A14" s="91" t="s">
        <v>107</v>
      </c>
      <c r="B14" s="91"/>
      <c r="C14" s="80"/>
      <c r="D14" s="98"/>
      <c r="E14" s="98"/>
      <c r="F14" s="80"/>
      <c r="G14" s="72"/>
      <c r="H14" s="72"/>
      <c r="I14" s="89"/>
      <c r="J14" s="72"/>
      <c r="K14" s="90"/>
      <c r="L14" s="72"/>
    </row>
    <row r="15" customFormat="false" ht="12.8" hidden="false" customHeight="true" outlineLevel="0" collapsed="false">
      <c r="A15" s="82" t="s">
        <v>102</v>
      </c>
      <c r="B15" s="82"/>
      <c r="C15" s="80"/>
      <c r="D15" s="94" t="n">
        <v>32.3</v>
      </c>
      <c r="E15" s="87" t="n">
        <v>22</v>
      </c>
      <c r="F15" s="80"/>
      <c r="G15" s="72"/>
      <c r="H15" s="72"/>
      <c r="I15" s="89"/>
      <c r="J15" s="72"/>
      <c r="K15" s="90"/>
      <c r="L15" s="72"/>
    </row>
    <row r="16" customFormat="false" ht="12.8" hidden="false" customHeight="true" outlineLevel="0" collapsed="false">
      <c r="A16" s="82" t="s">
        <v>104</v>
      </c>
      <c r="B16" s="82"/>
      <c r="C16" s="80"/>
      <c r="D16" s="94" t="n">
        <v>72</v>
      </c>
      <c r="E16" s="87" t="n">
        <v>60</v>
      </c>
      <c r="F16" s="80"/>
      <c r="G16" s="72"/>
      <c r="H16" s="72"/>
      <c r="I16" s="89"/>
      <c r="J16" s="72"/>
      <c r="K16" s="90"/>
      <c r="L16" s="72"/>
    </row>
    <row r="17" customFormat="false" ht="13.05" hidden="false" customHeight="true" outlineLevel="0" collapsed="false">
      <c r="A17" s="82" t="s">
        <v>105</v>
      </c>
      <c r="B17" s="82"/>
      <c r="C17" s="80"/>
      <c r="D17" s="97" t="n">
        <f aca="false">0.62198/(101325/(EXP(77.345+0.0057*(273+D15)- 7235/(273+D15))/(273+D15)^8.2)-1)*D16/100</f>
        <v>0.0221812811253068</v>
      </c>
      <c r="E17" s="97" t="n">
        <f aca="false">0.62198/(101325/(EXP(77.345+0.0057*(273+E15)- 7235/(273+E15))/(273+E15)^8.2)-1)*E16/100</f>
        <v>0.00987482822595601</v>
      </c>
      <c r="F17" s="80"/>
      <c r="G17" s="72"/>
      <c r="H17" s="72"/>
      <c r="I17" s="89"/>
      <c r="J17" s="72"/>
      <c r="K17" s="90"/>
      <c r="L17" s="72"/>
    </row>
    <row r="18" customFormat="false" ht="13.05" hidden="false" customHeight="true" outlineLevel="0" collapsed="false">
      <c r="A18" s="82" t="s">
        <v>106</v>
      </c>
      <c r="B18" s="82"/>
      <c r="C18" s="80"/>
      <c r="D18" s="79"/>
      <c r="E18" s="79"/>
      <c r="F18" s="87" t="n">
        <v>10.5</v>
      </c>
      <c r="G18" s="72"/>
      <c r="H18" s="72"/>
      <c r="I18" s="89"/>
      <c r="J18" s="72"/>
      <c r="K18" s="90"/>
      <c r="L18" s="72"/>
    </row>
    <row r="19" customFormat="false" ht="12.8" hidden="false" customHeight="false" outlineLevel="0" collapsed="false">
      <c r="A19" s="82"/>
      <c r="B19" s="82"/>
      <c r="C19" s="80"/>
      <c r="D19" s="80"/>
      <c r="E19" s="80"/>
      <c r="F19" s="80"/>
      <c r="G19" s="72"/>
      <c r="H19" s="72"/>
      <c r="I19" s="89"/>
      <c r="J19" s="72"/>
      <c r="K19" s="90"/>
      <c r="L19" s="72"/>
    </row>
    <row r="20" customFormat="false" ht="13.05" hidden="false" customHeight="false" outlineLevel="0" collapsed="false">
      <c r="A20" s="80" t="s">
        <v>108</v>
      </c>
      <c r="B20" s="80"/>
      <c r="C20" s="80"/>
      <c r="D20" s="99" t="s">
        <v>109</v>
      </c>
      <c r="E20" s="79"/>
      <c r="F20" s="80"/>
      <c r="G20" s="72"/>
      <c r="H20" s="72"/>
      <c r="I20" s="89"/>
      <c r="J20" s="72"/>
      <c r="K20" s="90"/>
      <c r="L20" s="72"/>
    </row>
    <row r="21" customFormat="false" ht="13.05" hidden="false" customHeight="false" outlineLevel="0" collapsed="false">
      <c r="A21" s="80"/>
      <c r="B21" s="80" t="s">
        <v>110</v>
      </c>
      <c r="C21" s="87" t="s">
        <v>111</v>
      </c>
      <c r="D21" s="100" t="s">
        <v>112</v>
      </c>
      <c r="E21" s="100" t="s">
        <v>113</v>
      </c>
      <c r="F21" s="80"/>
      <c r="G21" s="72"/>
      <c r="H21" s="72"/>
      <c r="I21" s="89"/>
      <c r="J21" s="72"/>
      <c r="K21" s="90"/>
      <c r="L21" s="72"/>
    </row>
    <row r="22" customFormat="false" ht="13.05" hidden="false" customHeight="false" outlineLevel="0" collapsed="false">
      <c r="A22" s="80"/>
      <c r="B22" s="80" t="s">
        <v>114</v>
      </c>
      <c r="C22" s="100" t="s">
        <v>111</v>
      </c>
      <c r="D22" s="87" t="s">
        <v>112</v>
      </c>
      <c r="E22" s="100" t="s">
        <v>113</v>
      </c>
      <c r="F22" s="80"/>
      <c r="G22" s="72"/>
      <c r="H22" s="72"/>
      <c r="I22" s="89"/>
      <c r="J22" s="72"/>
      <c r="K22" s="90"/>
      <c r="L22" s="72"/>
    </row>
    <row r="23" customFormat="false" ht="13.05" hidden="false" customHeight="false" outlineLevel="0" collapsed="false">
      <c r="A23" s="80"/>
      <c r="B23" s="80" t="s">
        <v>115</v>
      </c>
      <c r="C23" s="100" t="s">
        <v>116</v>
      </c>
      <c r="D23" s="87" t="s">
        <v>117</v>
      </c>
      <c r="E23" s="100" t="s">
        <v>118</v>
      </c>
      <c r="F23" s="80"/>
      <c r="G23" s="72"/>
      <c r="H23" s="72"/>
      <c r="I23" s="89"/>
      <c r="J23" s="72"/>
      <c r="K23" s="90"/>
      <c r="L23" s="72"/>
    </row>
    <row r="24" customFormat="false" ht="12.8" hidden="false" customHeight="false" outlineLevel="0" collapsed="false">
      <c r="A24" s="72"/>
      <c r="B24" s="72"/>
      <c r="C24" s="89"/>
      <c r="D24" s="72"/>
      <c r="E24" s="72"/>
      <c r="F24" s="72"/>
      <c r="G24" s="72"/>
      <c r="H24" s="72"/>
      <c r="I24" s="89"/>
      <c r="J24" s="72"/>
      <c r="K24" s="90"/>
      <c r="L24" s="72"/>
    </row>
    <row r="25" customFormat="false" ht="12.8" hidden="false" customHeight="false" outlineLevel="0" collapsed="false">
      <c r="A25" s="101" t="s">
        <v>119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88"/>
      <c r="M25" s="72"/>
    </row>
    <row r="26" customFormat="false" ht="13.05" hidden="false" customHeight="true" outlineLevel="0" collapsed="false">
      <c r="A26" s="79" t="s">
        <v>120</v>
      </c>
      <c r="B26" s="79" t="s">
        <v>121</v>
      </c>
      <c r="C26" s="79"/>
      <c r="D26" s="79"/>
      <c r="E26" s="79"/>
      <c r="F26" s="79" t="s">
        <v>122</v>
      </c>
      <c r="G26" s="79" t="s">
        <v>123</v>
      </c>
      <c r="H26" s="79" t="s">
        <v>97</v>
      </c>
      <c r="I26" s="79" t="s">
        <v>124</v>
      </c>
      <c r="J26" s="79" t="s">
        <v>107</v>
      </c>
      <c r="K26" s="79" t="s">
        <v>124</v>
      </c>
      <c r="L26" s="72"/>
      <c r="M26" s="69"/>
    </row>
    <row r="27" customFormat="false" ht="24.25" hidden="false" customHeight="false" outlineLevel="0" collapsed="false">
      <c r="A27" s="79" t="s">
        <v>125</v>
      </c>
      <c r="B27" s="79"/>
      <c r="C27" s="79"/>
      <c r="D27" s="79"/>
      <c r="E27" s="79"/>
      <c r="F27" s="79" t="s">
        <v>126</v>
      </c>
      <c r="G27" s="79" t="s">
        <v>127</v>
      </c>
      <c r="H27" s="79" t="s">
        <v>128</v>
      </c>
      <c r="I27" s="79" t="s">
        <v>129</v>
      </c>
      <c r="J27" s="79" t="s">
        <v>128</v>
      </c>
      <c r="K27" s="79" t="s">
        <v>129</v>
      </c>
      <c r="L27" s="72"/>
    </row>
    <row r="28" customFormat="false" ht="12.8" hidden="false" customHeight="true" outlineLevel="0" collapsed="false">
      <c r="A28" s="79" t="n">
        <v>1</v>
      </c>
      <c r="B28" s="80" t="s">
        <v>130</v>
      </c>
      <c r="C28" s="80"/>
      <c r="D28" s="80"/>
      <c r="E28" s="80"/>
      <c r="F28" s="87"/>
      <c r="G28" s="87" t="n">
        <v>2.28</v>
      </c>
      <c r="H28" s="102" t="n">
        <f aca="false">VALUES!$F46+(25.6-$E$9)+($D$9-0.5*$F$12-29.4)</f>
        <v>15.45</v>
      </c>
      <c r="I28" s="103" t="n">
        <f aca="false">F28*G28*H28</f>
        <v>0</v>
      </c>
      <c r="J28" s="102" t="n">
        <f aca="false">VALUES!$I46+(25.6-$E$15)+($D$15-0.5*$F$18-29.4)</f>
        <v>5.95</v>
      </c>
      <c r="K28" s="103" t="n">
        <f aca="false">F28*G28*J28</f>
        <v>0</v>
      </c>
      <c r="L28" s="72"/>
    </row>
    <row r="29" customFormat="false" ht="12.8" hidden="false" customHeight="true" outlineLevel="0" collapsed="false">
      <c r="A29" s="79" t="n">
        <v>2</v>
      </c>
      <c r="B29" s="80" t="s">
        <v>131</v>
      </c>
      <c r="C29" s="80"/>
      <c r="D29" s="80"/>
      <c r="E29" s="80"/>
      <c r="F29" s="87"/>
      <c r="G29" s="87" t="n">
        <v>2.28</v>
      </c>
      <c r="H29" s="102" t="n">
        <f aca="false">VALUES!$F47+(25.6-$E$9)+($D$9-0.5*$F$12-29.4)</f>
        <v>15.85</v>
      </c>
      <c r="I29" s="103" t="n">
        <f aca="false">F29*G29*H29</f>
        <v>0</v>
      </c>
      <c r="J29" s="102" t="n">
        <f aca="false">VALUES!$I47+(25.6-$E$15)+($D$15-0.5*$F$18-29.4)</f>
        <v>7.05</v>
      </c>
      <c r="K29" s="103" t="n">
        <f aca="false">F29*G29*J29</f>
        <v>0</v>
      </c>
      <c r="L29" s="72"/>
    </row>
    <row r="30" customFormat="false" ht="12.8" hidden="false" customHeight="true" outlineLevel="0" collapsed="false">
      <c r="A30" s="79" t="n">
        <v>3</v>
      </c>
      <c r="B30" s="80" t="s">
        <v>132</v>
      </c>
      <c r="C30" s="80"/>
      <c r="D30" s="80"/>
      <c r="E30" s="80"/>
      <c r="F30" s="87"/>
      <c r="G30" s="87" t="n">
        <v>2.28</v>
      </c>
      <c r="H30" s="102" t="n">
        <f aca="false">VALUES!$F48+(25.6-$E$9)+($D$9-0.5*$F$12-29.4)</f>
        <v>15.85</v>
      </c>
      <c r="I30" s="103" t="n">
        <f aca="false">F30*G30*H30</f>
        <v>0</v>
      </c>
      <c r="J30" s="102" t="n">
        <f aca="false">VALUES!$I48+(25.6-$E$15)+($D$15-0.5*$F$18-29.4)</f>
        <v>10.95</v>
      </c>
      <c r="K30" s="103" t="n">
        <f aca="false">F30*G30*J30</f>
        <v>0</v>
      </c>
      <c r="L30" s="72"/>
    </row>
    <row r="31" customFormat="false" ht="12.8" hidden="false" customHeight="true" outlineLevel="0" collapsed="false">
      <c r="A31" s="79" t="n">
        <v>4</v>
      </c>
      <c r="B31" s="80" t="s">
        <v>133</v>
      </c>
      <c r="C31" s="80"/>
      <c r="D31" s="80"/>
      <c r="E31" s="80"/>
      <c r="F31" s="87"/>
      <c r="G31" s="87" t="n">
        <v>2.28</v>
      </c>
      <c r="H31" s="102" t="n">
        <f aca="false">VALUES!$F49+(25.6-$E$9)+($D$9-0.5*$F$12-29.4)</f>
        <v>13.15</v>
      </c>
      <c r="I31" s="103" t="n">
        <f aca="false">F31*G31*H31</f>
        <v>0</v>
      </c>
      <c r="J31" s="102" t="n">
        <f aca="false">VALUES!$I49+(25.6-$E$15)+($D$15-0.5*$F$18-29.4)</f>
        <v>12.55</v>
      </c>
      <c r="K31" s="103" t="n">
        <f aca="false">F31*G31*J31</f>
        <v>0</v>
      </c>
      <c r="L31" s="72"/>
    </row>
    <row r="32" customFormat="false" ht="12.8" hidden="false" customHeight="true" outlineLevel="0" collapsed="false">
      <c r="A32" s="79" t="n">
        <v>5</v>
      </c>
      <c r="B32" s="80" t="s">
        <v>134</v>
      </c>
      <c r="C32" s="80"/>
      <c r="D32" s="80"/>
      <c r="E32" s="80"/>
      <c r="F32" s="87"/>
      <c r="G32" s="87" t="n">
        <v>2.28</v>
      </c>
      <c r="H32" s="102" t="n">
        <f aca="false">VALUES!$F50+(25.6-$E$9)+($D$9-0.5*$F$12-29.4)</f>
        <v>11.95</v>
      </c>
      <c r="I32" s="103" t="n">
        <f aca="false">F32*G32*H32</f>
        <v>0</v>
      </c>
      <c r="J32" s="102" t="n">
        <f aca="false">VALUES!$I50+(25.6-$E$15)+($D$15-0.5*$F$18-29.4)</f>
        <v>13.65</v>
      </c>
      <c r="K32" s="103" t="n">
        <f aca="false">F32*G32*J32</f>
        <v>0</v>
      </c>
      <c r="L32" s="72"/>
    </row>
    <row r="33" customFormat="false" ht="12.8" hidden="false" customHeight="true" outlineLevel="0" collapsed="false">
      <c r="A33" s="79" t="n">
        <v>6</v>
      </c>
      <c r="B33" s="80" t="s">
        <v>135</v>
      </c>
      <c r="C33" s="80"/>
      <c r="D33" s="80"/>
      <c r="E33" s="80"/>
      <c r="F33" s="87"/>
      <c r="G33" s="87" t="n">
        <v>2.28</v>
      </c>
      <c r="H33" s="102" t="n">
        <f aca="false">VALUES!$F51+(25.6-$E$9)+($D$9-0.5*$F$12-29.4)</f>
        <v>13.95</v>
      </c>
      <c r="I33" s="103" t="n">
        <f aca="false">F33*G33*H33</f>
        <v>0</v>
      </c>
      <c r="J33" s="102" t="n">
        <f aca="false">VALUES!$I51+(25.6-$E$15)+($D$15-0.5*$F$18-29.4)</f>
        <v>13.35</v>
      </c>
      <c r="K33" s="103" t="n">
        <f aca="false">F33*G33*J33</f>
        <v>0</v>
      </c>
      <c r="L33" s="72"/>
    </row>
    <row r="34" customFormat="false" ht="23.85" hidden="false" customHeight="true" outlineLevel="0" collapsed="false">
      <c r="A34" s="79" t="n">
        <v>7</v>
      </c>
      <c r="B34" s="80" t="s">
        <v>136</v>
      </c>
      <c r="C34" s="80"/>
      <c r="D34" s="80"/>
      <c r="E34" s="80"/>
      <c r="F34" s="87"/>
      <c r="G34" s="87" t="n">
        <v>2.28</v>
      </c>
      <c r="H34" s="102" t="n">
        <f aca="false">VALUES!$F52+(25.6-$E$9)+($D$9-0.5*$F$12-29.4)</f>
        <v>17.05</v>
      </c>
      <c r="I34" s="103" t="n">
        <f aca="false">F34*G34*H34</f>
        <v>0</v>
      </c>
      <c r="J34" s="102" t="n">
        <f aca="false">VALUES!$I52+(25.6-$E$15)+($D$15-0.5*$F$18-29.4)</f>
        <v>12.15</v>
      </c>
      <c r="K34" s="103" t="n">
        <f aca="false">F34*G34*J34</f>
        <v>0</v>
      </c>
      <c r="L34" s="72"/>
      <c r="M34" s="104" t="s">
        <v>137</v>
      </c>
      <c r="N34" s="104" t="s">
        <v>138</v>
      </c>
    </row>
    <row r="35" customFormat="false" ht="13.05" hidden="false" customHeight="true" outlineLevel="0" collapsed="false">
      <c r="A35" s="79" t="n">
        <v>8</v>
      </c>
      <c r="B35" s="80" t="s">
        <v>139</v>
      </c>
      <c r="C35" s="80"/>
      <c r="D35" s="80"/>
      <c r="E35" s="80"/>
      <c r="F35" s="87"/>
      <c r="G35" s="87" t="n">
        <v>2.28</v>
      </c>
      <c r="H35" s="102" t="n">
        <f aca="false">VALUES!$F53+(25.6-$E$9)+($D$9-0.5*$F$12-29.4)</f>
        <v>16.65</v>
      </c>
      <c r="I35" s="103" t="n">
        <f aca="false">F35*G35*H35</f>
        <v>0</v>
      </c>
      <c r="J35" s="102" t="n">
        <f aca="false">VALUES!$I53+(25.6-$E$15)+($D$15-0.5*$F$18-29.4)</f>
        <v>7.85</v>
      </c>
      <c r="K35" s="103" t="n">
        <f aca="false">F35*G35*J35</f>
        <v>0</v>
      </c>
      <c r="L35" s="72"/>
      <c r="M35" s="105"/>
      <c r="N35" s="105"/>
      <c r="O35" s="104" t="n">
        <f aca="false">VALUES!$C$21</f>
        <v>6</v>
      </c>
      <c r="P35" s="104" t="n">
        <f aca="false">VALUES!$D$21</f>
        <v>7</v>
      </c>
      <c r="Q35" s="104" t="n">
        <f aca="false">VALUES!$E$21</f>
        <v>8</v>
      </c>
      <c r="R35" s="104" t="n">
        <f aca="false">VALUES!$F$21</f>
        <v>9</v>
      </c>
      <c r="S35" s="104" t="n">
        <f aca="false">VALUES!$G$21</f>
        <v>10</v>
      </c>
      <c r="T35" s="104" t="n">
        <f aca="false">VALUES!$H$21</f>
        <v>11</v>
      </c>
      <c r="U35" s="104" t="n">
        <f aca="false">VALUES!$I$21</f>
        <v>12</v>
      </c>
      <c r="V35" s="104" t="n">
        <f aca="false">VALUES!$J$21</f>
        <v>13</v>
      </c>
      <c r="W35" s="104" t="n">
        <f aca="false">VALUES!$K$21</f>
        <v>14</v>
      </c>
      <c r="X35" s="104" t="n">
        <f aca="false">VALUES!$L$21</f>
        <v>15</v>
      </c>
      <c r="Y35" s="104" t="n">
        <f aca="false">VALUES!$M$21</f>
        <v>16</v>
      </c>
      <c r="Z35" s="104" t="n">
        <f aca="false">VALUES!$N$21</f>
        <v>17</v>
      </c>
      <c r="AA35" s="104" t="n">
        <f aca="false">VALUES!$O$21</f>
        <v>18</v>
      </c>
    </row>
    <row r="36" customFormat="false" ht="13.05" hidden="false" customHeight="true" outlineLevel="0" collapsed="false">
      <c r="A36" s="79" t="n">
        <v>9</v>
      </c>
      <c r="B36" s="80" t="s">
        <v>140</v>
      </c>
      <c r="C36" s="80"/>
      <c r="D36" s="80"/>
      <c r="E36" s="80"/>
      <c r="F36" s="87"/>
      <c r="G36" s="87" t="n">
        <v>5.23</v>
      </c>
      <c r="H36" s="102" t="n">
        <f aca="false">M36+(25.6-$E$9)+($D$9-0.5*$F$12-29.4)</f>
        <v>5.05000000000001</v>
      </c>
      <c r="I36" s="103" t="n">
        <f aca="false">F36*G36*H36</f>
        <v>0</v>
      </c>
      <c r="J36" s="102" t="n">
        <f aca="false">N36+(25.6-$E$15)+($D$15-0.5*$F$18-29.4)</f>
        <v>0.15</v>
      </c>
      <c r="K36" s="103" t="n">
        <f aca="false">F36*G36*J36</f>
        <v>0</v>
      </c>
      <c r="L36" s="72"/>
      <c r="M36" s="106" t="n">
        <f aca="false">INDEX(O36:AA36,1,MATCH(MAX($O$64:$AA$64),$O$64:$AA$64,0))</f>
        <v>-1.1</v>
      </c>
      <c r="N36" s="107" t="n">
        <f aca="false">INDEX(O36:AA36,1,MATCH(MAX($O$65:$AA$65),$O$65:$AA$65,0))</f>
        <v>-1.1</v>
      </c>
      <c r="O36" s="108" t="n">
        <f aca="false">VALUES!C$61</f>
        <v>-1.1</v>
      </c>
      <c r="P36" s="108" t="n">
        <f aca="false">VALUES!D$61</f>
        <v>-1.1</v>
      </c>
      <c r="Q36" s="108" t="n">
        <f aca="false">VALUES!E$61</f>
        <v>0</v>
      </c>
      <c r="R36" s="108" t="n">
        <f aca="false">VALUES!F$61</f>
        <v>1.1</v>
      </c>
      <c r="S36" s="108" t="n">
        <f aca="false">VALUES!G$61</f>
        <v>2.2</v>
      </c>
      <c r="T36" s="108" t="n">
        <f aca="false">VALUES!H$61</f>
        <v>3.9</v>
      </c>
      <c r="U36" s="108" t="n">
        <f aca="false">VALUES!I$61</f>
        <v>5</v>
      </c>
      <c r="V36" s="108" t="n">
        <f aca="false">VALUES!J$61</f>
        <v>6.7</v>
      </c>
      <c r="W36" s="108" t="n">
        <f aca="false">VALUES!K$61</f>
        <v>7.2</v>
      </c>
      <c r="X36" s="108" t="n">
        <f aca="false">VALUES!L$61</f>
        <v>7.8</v>
      </c>
      <c r="Y36" s="108" t="n">
        <f aca="false">VALUES!M$61</f>
        <v>7.8</v>
      </c>
      <c r="Z36" s="108" t="n">
        <f aca="false">VALUES!N$61</f>
        <v>7.2</v>
      </c>
      <c r="AA36" s="108" t="n">
        <f aca="false">VALUES!O$61</f>
        <v>6.7</v>
      </c>
    </row>
    <row r="37" customFormat="false" ht="13.05" hidden="false" customHeight="true" outlineLevel="0" collapsed="false">
      <c r="A37" s="79" t="n">
        <v>10</v>
      </c>
      <c r="B37" s="80" t="s">
        <v>141</v>
      </c>
      <c r="C37" s="80"/>
      <c r="D37" s="80"/>
      <c r="E37" s="80"/>
      <c r="F37" s="87"/>
      <c r="G37" s="87" t="n">
        <v>5.23</v>
      </c>
      <c r="H37" s="102" t="n">
        <f aca="false">M37+(25.6-$E$9)+($D$9-0.5*$F$12-29.4)</f>
        <v>5.05000000000001</v>
      </c>
      <c r="I37" s="103" t="n">
        <f aca="false">F37*G37*H37</f>
        <v>0</v>
      </c>
      <c r="J37" s="102" t="n">
        <f aca="false">N37+(25.6-$E$15)+($D$15-0.5*$F$18-29.4)</f>
        <v>0.15</v>
      </c>
      <c r="K37" s="103" t="n">
        <f aca="false">F37*G37*J37</f>
        <v>0</v>
      </c>
      <c r="L37" s="72"/>
      <c r="M37" s="109" t="n">
        <f aca="false">INDEX(O37:AA37,1,MATCH(MAX($O$64:$AA$64),$O$64:$AA$64,0))</f>
        <v>-1.1</v>
      </c>
      <c r="N37" s="110" t="n">
        <f aca="false">INDEX(O37:AA37,1,MATCH(MAX($O$65:$AA$65),$O$65:$AA$65,0))</f>
        <v>-1.1</v>
      </c>
      <c r="O37" s="108" t="n">
        <f aca="false">VALUES!C$61</f>
        <v>-1.1</v>
      </c>
      <c r="P37" s="108" t="n">
        <f aca="false">VALUES!D$61</f>
        <v>-1.1</v>
      </c>
      <c r="Q37" s="108" t="n">
        <f aca="false">VALUES!E$61</f>
        <v>0</v>
      </c>
      <c r="R37" s="108" t="n">
        <f aca="false">VALUES!F$61</f>
        <v>1.1</v>
      </c>
      <c r="S37" s="108" t="n">
        <f aca="false">VALUES!G$61</f>
        <v>2.2</v>
      </c>
      <c r="T37" s="108" t="n">
        <f aca="false">VALUES!H$61</f>
        <v>3.9</v>
      </c>
      <c r="U37" s="108" t="n">
        <f aca="false">VALUES!I$61</f>
        <v>5</v>
      </c>
      <c r="V37" s="108" t="n">
        <f aca="false">VALUES!J$61</f>
        <v>6.7</v>
      </c>
      <c r="W37" s="108" t="n">
        <f aca="false">VALUES!K$61</f>
        <v>7.2</v>
      </c>
      <c r="X37" s="108" t="n">
        <f aca="false">VALUES!L$61</f>
        <v>7.8</v>
      </c>
      <c r="Y37" s="108" t="n">
        <f aca="false">VALUES!M$61</f>
        <v>7.8</v>
      </c>
      <c r="Z37" s="108" t="n">
        <f aca="false">VALUES!N$61</f>
        <v>7.2</v>
      </c>
      <c r="AA37" s="108" t="n">
        <f aca="false">VALUES!O$61</f>
        <v>6.7</v>
      </c>
    </row>
    <row r="38" customFormat="false" ht="13.05" hidden="false" customHeight="true" outlineLevel="0" collapsed="false">
      <c r="A38" s="79" t="n">
        <v>11</v>
      </c>
      <c r="B38" s="80" t="s">
        <v>142</v>
      </c>
      <c r="C38" s="80"/>
      <c r="D38" s="80"/>
      <c r="E38" s="80"/>
      <c r="F38" s="87"/>
      <c r="G38" s="87" t="n">
        <v>5.23</v>
      </c>
      <c r="H38" s="102" t="n">
        <f aca="false">M38+(25.6-$E$9)+($D$9-0.5*$F$12-29.4)</f>
        <v>5.05000000000001</v>
      </c>
      <c r="I38" s="103" t="n">
        <f aca="false">F38*G38*H38</f>
        <v>0</v>
      </c>
      <c r="J38" s="102" t="n">
        <f aca="false">N38+(25.6-$E$15)+($D$15-0.5*$F$18-29.4)</f>
        <v>0.15</v>
      </c>
      <c r="K38" s="103" t="n">
        <f aca="false">F38*G38*J38</f>
        <v>0</v>
      </c>
      <c r="L38" s="72"/>
      <c r="M38" s="109" t="n">
        <f aca="false">INDEX(O38:AA38,1,MATCH(MAX($O$64:$AA$64),$O$64:$AA$64,0))</f>
        <v>-1.1</v>
      </c>
      <c r="N38" s="110" t="n">
        <f aca="false">INDEX(O38:AA38,1,MATCH(MAX($O$65:$AA$65),$O$65:$AA$65,0))</f>
        <v>-1.1</v>
      </c>
      <c r="O38" s="108" t="n">
        <f aca="false">VALUES!C$61</f>
        <v>-1.1</v>
      </c>
      <c r="P38" s="108" t="n">
        <f aca="false">VALUES!D$61</f>
        <v>-1.1</v>
      </c>
      <c r="Q38" s="108" t="n">
        <f aca="false">VALUES!E$61</f>
        <v>0</v>
      </c>
      <c r="R38" s="108" t="n">
        <f aca="false">VALUES!F$61</f>
        <v>1.1</v>
      </c>
      <c r="S38" s="108" t="n">
        <f aca="false">VALUES!G$61</f>
        <v>2.2</v>
      </c>
      <c r="T38" s="108" t="n">
        <f aca="false">VALUES!H$61</f>
        <v>3.9</v>
      </c>
      <c r="U38" s="108" t="n">
        <f aca="false">VALUES!I$61</f>
        <v>5</v>
      </c>
      <c r="V38" s="108" t="n">
        <f aca="false">VALUES!J$61</f>
        <v>6.7</v>
      </c>
      <c r="W38" s="108" t="n">
        <f aca="false">VALUES!K$61</f>
        <v>7.2</v>
      </c>
      <c r="X38" s="108" t="n">
        <f aca="false">VALUES!L$61</f>
        <v>7.8</v>
      </c>
      <c r="Y38" s="108" t="n">
        <f aca="false">VALUES!M$61</f>
        <v>7.8</v>
      </c>
      <c r="Z38" s="108" t="n">
        <f aca="false">VALUES!N$61</f>
        <v>7.2</v>
      </c>
      <c r="AA38" s="108" t="n">
        <f aca="false">VALUES!O$61</f>
        <v>6.7</v>
      </c>
    </row>
    <row r="39" customFormat="false" ht="13.05" hidden="false" customHeight="true" outlineLevel="0" collapsed="false">
      <c r="A39" s="79" t="n">
        <v>12</v>
      </c>
      <c r="B39" s="80" t="s">
        <v>143</v>
      </c>
      <c r="C39" s="80"/>
      <c r="D39" s="80"/>
      <c r="E39" s="80"/>
      <c r="F39" s="87"/>
      <c r="G39" s="87" t="n">
        <v>5.23</v>
      </c>
      <c r="H39" s="102" t="n">
        <f aca="false">M39+(25.6-$E$9)+($D$9-0.5*$F$12-29.4)</f>
        <v>5.05000000000001</v>
      </c>
      <c r="I39" s="103" t="n">
        <f aca="false">F39*G39*H39</f>
        <v>0</v>
      </c>
      <c r="J39" s="102" t="n">
        <f aca="false">N39+(25.6-$E$15)+($D$15-0.5*$F$18-29.4)</f>
        <v>0.15</v>
      </c>
      <c r="K39" s="103" t="n">
        <f aca="false">F39*G39*J39</f>
        <v>0</v>
      </c>
      <c r="L39" s="72"/>
      <c r="M39" s="109" t="n">
        <f aca="false">INDEX(O39:AA39,1,MATCH(MAX($O$64:$AA$64),$O$64:$AA$64,0))</f>
        <v>-1.1</v>
      </c>
      <c r="N39" s="110" t="n">
        <f aca="false">INDEX(O39:AA39,1,MATCH(MAX($O$65:$AA$65),$O$65:$AA$65,0))</f>
        <v>-1.1</v>
      </c>
      <c r="O39" s="108" t="n">
        <f aca="false">VALUES!C$61</f>
        <v>-1.1</v>
      </c>
      <c r="P39" s="108" t="n">
        <f aca="false">VALUES!D$61</f>
        <v>-1.1</v>
      </c>
      <c r="Q39" s="108" t="n">
        <f aca="false">VALUES!E$61</f>
        <v>0</v>
      </c>
      <c r="R39" s="108" t="n">
        <f aca="false">VALUES!F$61</f>
        <v>1.1</v>
      </c>
      <c r="S39" s="108" t="n">
        <f aca="false">VALUES!G$61</f>
        <v>2.2</v>
      </c>
      <c r="T39" s="108" t="n">
        <f aca="false">VALUES!H$61</f>
        <v>3.9</v>
      </c>
      <c r="U39" s="108" t="n">
        <f aca="false">VALUES!I$61</f>
        <v>5</v>
      </c>
      <c r="V39" s="108" t="n">
        <f aca="false">VALUES!J$61</f>
        <v>6.7</v>
      </c>
      <c r="W39" s="108" t="n">
        <f aca="false">VALUES!K$61</f>
        <v>7.2</v>
      </c>
      <c r="X39" s="108" t="n">
        <f aca="false">VALUES!L$61</f>
        <v>7.8</v>
      </c>
      <c r="Y39" s="108" t="n">
        <f aca="false">VALUES!M$61</f>
        <v>7.8</v>
      </c>
      <c r="Z39" s="108" t="n">
        <f aca="false">VALUES!N$61</f>
        <v>7.2</v>
      </c>
      <c r="AA39" s="108" t="n">
        <f aca="false">VALUES!O$61</f>
        <v>6.7</v>
      </c>
    </row>
    <row r="40" customFormat="false" ht="13.05" hidden="false" customHeight="true" outlineLevel="0" collapsed="false">
      <c r="A40" s="79" t="n">
        <v>13</v>
      </c>
      <c r="B40" s="80" t="s">
        <v>144</v>
      </c>
      <c r="C40" s="80"/>
      <c r="D40" s="80"/>
      <c r="E40" s="80"/>
      <c r="F40" s="87"/>
      <c r="G40" s="87" t="n">
        <v>5.23</v>
      </c>
      <c r="H40" s="102" t="n">
        <f aca="false">M40+(25.6-$E$9)+($D$9-0.5*$F$12-29.4)</f>
        <v>5.05000000000001</v>
      </c>
      <c r="I40" s="103" t="n">
        <f aca="false">F40*G40*H40</f>
        <v>0</v>
      </c>
      <c r="J40" s="102" t="n">
        <f aca="false">N40+(25.6-$E$15)+($D$15-0.5*$F$18-29.4)</f>
        <v>0.15</v>
      </c>
      <c r="K40" s="103" t="n">
        <f aca="false">F40*G40*J40</f>
        <v>0</v>
      </c>
      <c r="L40" s="72"/>
      <c r="M40" s="109" t="n">
        <f aca="false">INDEX(O40:AA40,1,MATCH(MAX($O$64:$AA$64),$O$64:$AA$64,0))</f>
        <v>-1.1</v>
      </c>
      <c r="N40" s="110" t="n">
        <f aca="false">INDEX(O40:AA40,1,MATCH(MAX($O$65:$AA$65),$O$65:$AA$65,0))</f>
        <v>-1.1</v>
      </c>
      <c r="O40" s="108" t="n">
        <f aca="false">VALUES!C$61</f>
        <v>-1.1</v>
      </c>
      <c r="P40" s="108" t="n">
        <f aca="false">VALUES!D$61</f>
        <v>-1.1</v>
      </c>
      <c r="Q40" s="108" t="n">
        <f aca="false">VALUES!E$61</f>
        <v>0</v>
      </c>
      <c r="R40" s="108" t="n">
        <f aca="false">VALUES!F$61</f>
        <v>1.1</v>
      </c>
      <c r="S40" s="108" t="n">
        <f aca="false">VALUES!G$61</f>
        <v>2.2</v>
      </c>
      <c r="T40" s="108" t="n">
        <f aca="false">VALUES!H$61</f>
        <v>3.9</v>
      </c>
      <c r="U40" s="108" t="n">
        <f aca="false">VALUES!I$61</f>
        <v>5</v>
      </c>
      <c r="V40" s="108" t="n">
        <f aca="false">VALUES!J$61</f>
        <v>6.7</v>
      </c>
      <c r="W40" s="108" t="n">
        <f aca="false">VALUES!K$61</f>
        <v>7.2</v>
      </c>
      <c r="X40" s="108" t="n">
        <f aca="false">VALUES!L$61</f>
        <v>7.8</v>
      </c>
      <c r="Y40" s="108" t="n">
        <f aca="false">VALUES!M$61</f>
        <v>7.8</v>
      </c>
      <c r="Z40" s="108" t="n">
        <f aca="false">VALUES!N$61</f>
        <v>7.2</v>
      </c>
      <c r="AA40" s="108" t="n">
        <f aca="false">VALUES!O$61</f>
        <v>6.7</v>
      </c>
    </row>
    <row r="41" customFormat="false" ht="13.05" hidden="false" customHeight="true" outlineLevel="0" collapsed="false">
      <c r="A41" s="79" t="n">
        <v>14</v>
      </c>
      <c r="B41" s="80" t="s">
        <v>145</v>
      </c>
      <c r="C41" s="80"/>
      <c r="D41" s="80"/>
      <c r="E41" s="80"/>
      <c r="F41" s="87"/>
      <c r="G41" s="87" t="n">
        <v>5.23</v>
      </c>
      <c r="H41" s="102" t="n">
        <f aca="false">M41+(25.6-$E$9)+($D$9-0.5*$F$12-29.4)</f>
        <v>5.05000000000001</v>
      </c>
      <c r="I41" s="103" t="n">
        <f aca="false">F41*G41*H41</f>
        <v>0</v>
      </c>
      <c r="J41" s="102" t="n">
        <f aca="false">N41+(25.6-$E$15)+($D$15-0.5*$F$18-29.4)</f>
        <v>0.15</v>
      </c>
      <c r="K41" s="103" t="n">
        <f aca="false">F41*G41*J41</f>
        <v>0</v>
      </c>
      <c r="L41" s="72"/>
      <c r="M41" s="109" t="n">
        <f aca="false">INDEX(O41:AA41,1,MATCH(MAX($O$64:$AA$64),$O$64:$AA$64,0))</f>
        <v>-1.1</v>
      </c>
      <c r="N41" s="110" t="n">
        <f aca="false">INDEX(O41:AA41,1,MATCH(MAX($O$65:$AA$65),$O$65:$AA$65,0))</f>
        <v>-1.1</v>
      </c>
      <c r="O41" s="108" t="n">
        <f aca="false">VALUES!C$61</f>
        <v>-1.1</v>
      </c>
      <c r="P41" s="108" t="n">
        <f aca="false">VALUES!D$61</f>
        <v>-1.1</v>
      </c>
      <c r="Q41" s="108" t="n">
        <f aca="false">VALUES!E$61</f>
        <v>0</v>
      </c>
      <c r="R41" s="108" t="n">
        <f aca="false">VALUES!F$61</f>
        <v>1.1</v>
      </c>
      <c r="S41" s="108" t="n">
        <f aca="false">VALUES!G$61</f>
        <v>2.2</v>
      </c>
      <c r="T41" s="108" t="n">
        <f aca="false">VALUES!H$61</f>
        <v>3.9</v>
      </c>
      <c r="U41" s="108" t="n">
        <f aca="false">VALUES!I$61</f>
        <v>5</v>
      </c>
      <c r="V41" s="108" t="n">
        <f aca="false">VALUES!J$61</f>
        <v>6.7</v>
      </c>
      <c r="W41" s="108" t="n">
        <f aca="false">VALUES!K$61</f>
        <v>7.2</v>
      </c>
      <c r="X41" s="108" t="n">
        <f aca="false">VALUES!L$61</f>
        <v>7.8</v>
      </c>
      <c r="Y41" s="108" t="n">
        <f aca="false">VALUES!M$61</f>
        <v>7.8</v>
      </c>
      <c r="Z41" s="108" t="n">
        <f aca="false">VALUES!N$61</f>
        <v>7.2</v>
      </c>
      <c r="AA41" s="108" t="n">
        <f aca="false">VALUES!O$61</f>
        <v>6.7</v>
      </c>
    </row>
    <row r="42" customFormat="false" ht="13.05" hidden="false" customHeight="true" outlineLevel="0" collapsed="false">
      <c r="A42" s="79" t="n">
        <v>15</v>
      </c>
      <c r="B42" s="80" t="s">
        <v>146</v>
      </c>
      <c r="C42" s="80"/>
      <c r="D42" s="80"/>
      <c r="E42" s="80"/>
      <c r="F42" s="87"/>
      <c r="G42" s="87" t="n">
        <v>5.23</v>
      </c>
      <c r="H42" s="102" t="n">
        <f aca="false">M42+(25.6-$E$9)+($D$9-0.5*$F$12-29.4)</f>
        <v>5.05000000000001</v>
      </c>
      <c r="I42" s="103" t="n">
        <f aca="false">F42*G42*H42</f>
        <v>0</v>
      </c>
      <c r="J42" s="102" t="n">
        <f aca="false">N42+(25.6-$E$15)+($D$15-0.5*$F$18-29.4)</f>
        <v>0.15</v>
      </c>
      <c r="K42" s="103" t="n">
        <f aca="false">F42*G42*J42</f>
        <v>0</v>
      </c>
      <c r="L42" s="72"/>
      <c r="M42" s="109" t="n">
        <f aca="false">INDEX(O42:AA42,1,MATCH(MAX($O$64:$AA$64),$O$64:$AA$64,0))</f>
        <v>-1.1</v>
      </c>
      <c r="N42" s="110" t="n">
        <f aca="false">INDEX(O42:AA42,1,MATCH(MAX($O$65:$AA$65),$O$65:$AA$65,0))</f>
        <v>-1.1</v>
      </c>
      <c r="O42" s="108" t="n">
        <f aca="false">VALUES!C$61</f>
        <v>-1.1</v>
      </c>
      <c r="P42" s="108" t="n">
        <f aca="false">VALUES!D$61</f>
        <v>-1.1</v>
      </c>
      <c r="Q42" s="108" t="n">
        <f aca="false">VALUES!E$61</f>
        <v>0</v>
      </c>
      <c r="R42" s="108" t="n">
        <f aca="false">VALUES!F$61</f>
        <v>1.1</v>
      </c>
      <c r="S42" s="108" t="n">
        <f aca="false">VALUES!G$61</f>
        <v>2.2</v>
      </c>
      <c r="T42" s="108" t="n">
        <f aca="false">VALUES!H$61</f>
        <v>3.9</v>
      </c>
      <c r="U42" s="108" t="n">
        <f aca="false">VALUES!I$61</f>
        <v>5</v>
      </c>
      <c r="V42" s="108" t="n">
        <f aca="false">VALUES!J$61</f>
        <v>6.7</v>
      </c>
      <c r="W42" s="108" t="n">
        <f aca="false">VALUES!K$61</f>
        <v>7.2</v>
      </c>
      <c r="X42" s="108" t="n">
        <f aca="false">VALUES!L$61</f>
        <v>7.8</v>
      </c>
      <c r="Y42" s="108" t="n">
        <f aca="false">VALUES!M$61</f>
        <v>7.8</v>
      </c>
      <c r="Z42" s="108" t="n">
        <f aca="false">VALUES!N$61</f>
        <v>7.2</v>
      </c>
      <c r="AA42" s="108" t="n">
        <f aca="false">VALUES!O$61</f>
        <v>6.7</v>
      </c>
    </row>
    <row r="43" customFormat="false" ht="13.05" hidden="false" customHeight="true" outlineLevel="0" collapsed="false">
      <c r="A43" s="79" t="n">
        <v>16</v>
      </c>
      <c r="B43" s="80" t="s">
        <v>147</v>
      </c>
      <c r="C43" s="80"/>
      <c r="D43" s="80"/>
      <c r="E43" s="80"/>
      <c r="F43" s="87"/>
      <c r="G43" s="87" t="n">
        <v>5.23</v>
      </c>
      <c r="H43" s="102" t="n">
        <f aca="false">M43+(25.6-$E$9)+($D$9-0.5*$F$12-29.4)</f>
        <v>5.05000000000001</v>
      </c>
      <c r="I43" s="103" t="n">
        <f aca="false">F43*G43*H43</f>
        <v>0</v>
      </c>
      <c r="J43" s="102" t="n">
        <f aca="false">N43+(25.6-$E$15)+($D$15-0.5*$F$18-29.4)</f>
        <v>0.15</v>
      </c>
      <c r="K43" s="103" t="n">
        <f aca="false">F43*G43*J43</f>
        <v>0</v>
      </c>
      <c r="L43" s="72"/>
      <c r="M43" s="109" t="n">
        <f aca="false">INDEX(O43:AA43,1,MATCH(MAX($O$64:$AA$64),$O$64:$AA$64,0))</f>
        <v>-1.1</v>
      </c>
      <c r="N43" s="110" t="n">
        <f aca="false">INDEX(O43:AA43,1,MATCH(MAX($O$65:$AA$65),$O$65:$AA$65,0))</f>
        <v>-1.1</v>
      </c>
      <c r="O43" s="108" t="n">
        <f aca="false">VALUES!C$61</f>
        <v>-1.1</v>
      </c>
      <c r="P43" s="108" t="n">
        <f aca="false">VALUES!D$61</f>
        <v>-1.1</v>
      </c>
      <c r="Q43" s="108" t="n">
        <f aca="false">VALUES!E$61</f>
        <v>0</v>
      </c>
      <c r="R43" s="108" t="n">
        <f aca="false">VALUES!F$61</f>
        <v>1.1</v>
      </c>
      <c r="S43" s="108" t="n">
        <f aca="false">VALUES!G$61</f>
        <v>2.2</v>
      </c>
      <c r="T43" s="108" t="n">
        <f aca="false">VALUES!H$61</f>
        <v>3.9</v>
      </c>
      <c r="U43" s="108" t="n">
        <f aca="false">VALUES!I$61</f>
        <v>5</v>
      </c>
      <c r="V43" s="108" t="n">
        <f aca="false">VALUES!J$61</f>
        <v>6.7</v>
      </c>
      <c r="W43" s="108" t="n">
        <f aca="false">VALUES!K$61</f>
        <v>7.2</v>
      </c>
      <c r="X43" s="108" t="n">
        <f aca="false">VALUES!L$61</f>
        <v>7.8</v>
      </c>
      <c r="Y43" s="108" t="n">
        <f aca="false">VALUES!M$61</f>
        <v>7.8</v>
      </c>
      <c r="Z43" s="108" t="n">
        <f aca="false">VALUES!N$61</f>
        <v>7.2</v>
      </c>
      <c r="AA43" s="108" t="n">
        <f aca="false">VALUES!O$61</f>
        <v>6.7</v>
      </c>
    </row>
    <row r="44" customFormat="false" ht="12.8" hidden="false" customHeight="true" outlineLevel="0" collapsed="false">
      <c r="A44" s="79" t="n">
        <v>17</v>
      </c>
      <c r="B44" s="80" t="s">
        <v>148</v>
      </c>
      <c r="C44" s="80"/>
      <c r="D44" s="80"/>
      <c r="E44" s="80"/>
      <c r="F44" s="87" t="n">
        <f aca="false">(8+7)*2*4.6</f>
        <v>138</v>
      </c>
      <c r="G44" s="87" t="n">
        <v>2.28</v>
      </c>
      <c r="H44" s="102" t="n">
        <f aca="false">$D$9-$E$9-3</f>
        <v>12.2</v>
      </c>
      <c r="I44" s="103" t="n">
        <f aca="false">F44*G44*H44</f>
        <v>3838.608</v>
      </c>
      <c r="J44" s="102" t="n">
        <f aca="false">$D$15-$E$15-3</f>
        <v>7.3</v>
      </c>
      <c r="K44" s="103" t="n">
        <f aca="false">F44*G44*J44</f>
        <v>2296.872</v>
      </c>
      <c r="L44" s="72"/>
      <c r="M44" s="111"/>
      <c r="N44" s="111"/>
    </row>
    <row r="45" customFormat="false" ht="13.05" hidden="false" customHeight="true" outlineLevel="0" collapsed="false">
      <c r="A45" s="79" t="n">
        <v>18</v>
      </c>
      <c r="B45" s="80" t="s">
        <v>149</v>
      </c>
      <c r="C45" s="80"/>
      <c r="D45" s="80"/>
      <c r="E45" s="80"/>
      <c r="F45" s="87"/>
      <c r="G45" s="87" t="n">
        <v>7.1</v>
      </c>
      <c r="H45" s="102" t="n">
        <f aca="false">$D$9-$E$9-3</f>
        <v>12.2</v>
      </c>
      <c r="I45" s="103" t="n">
        <f aca="false">F45*G45*H45</f>
        <v>0</v>
      </c>
      <c r="J45" s="102" t="n">
        <f aca="false">$D$15-$E$15-3</f>
        <v>7.3</v>
      </c>
      <c r="K45" s="103" t="n">
        <f aca="false">F45*G45*J45</f>
        <v>0</v>
      </c>
      <c r="L45" s="72"/>
      <c r="M45" s="111"/>
      <c r="N45" s="111"/>
    </row>
    <row r="46" customFormat="false" ht="13.05" hidden="false" customHeight="true" outlineLevel="0" collapsed="false">
      <c r="A46" s="79" t="n">
        <v>19</v>
      </c>
      <c r="B46" s="80" t="s">
        <v>150</v>
      </c>
      <c r="C46" s="80"/>
      <c r="D46" s="80"/>
      <c r="E46" s="80"/>
      <c r="F46" s="87" t="n">
        <f aca="false">B85</f>
        <v>81.9</v>
      </c>
      <c r="G46" s="87" t="n">
        <v>3.19</v>
      </c>
      <c r="H46" s="102" t="n">
        <f aca="false">$D$9-$E$9-3</f>
        <v>12.2</v>
      </c>
      <c r="I46" s="103" t="n">
        <f aca="false">F46*G46*H46</f>
        <v>3187.3842</v>
      </c>
      <c r="J46" s="102" t="n">
        <f aca="false">$D$15-$E$15-3</f>
        <v>7.3</v>
      </c>
      <c r="K46" s="103" t="n">
        <f aca="false">F46*G46*J46</f>
        <v>1907.2053</v>
      </c>
      <c r="L46" s="72"/>
      <c r="M46" s="111"/>
      <c r="N46" s="111"/>
    </row>
    <row r="47" customFormat="false" ht="13.05" hidden="false" customHeight="true" outlineLevel="0" collapsed="false">
      <c r="A47" s="79" t="n">
        <v>20</v>
      </c>
      <c r="B47" s="80" t="s">
        <v>151</v>
      </c>
      <c r="C47" s="80"/>
      <c r="D47" s="80"/>
      <c r="E47" s="80"/>
      <c r="F47" s="87"/>
      <c r="G47" s="87" t="n">
        <v>0.7</v>
      </c>
      <c r="H47" s="102" t="n">
        <f aca="false">VALUES!$F$39+(25.6-$E$9)+($D$9-0.5*$F$12-29.4)</f>
        <v>31.65</v>
      </c>
      <c r="I47" s="103" t="n">
        <f aca="false">F47*G47*H47</f>
        <v>0</v>
      </c>
      <c r="J47" s="102" t="n">
        <f aca="false">VALUES!$I$39+(25.6-$E$15)+($D$15-0.5*$F$18-29.4)</f>
        <v>25.75</v>
      </c>
      <c r="K47" s="103" t="n">
        <f aca="false">F47*G47*J47</f>
        <v>0</v>
      </c>
      <c r="M47" s="111"/>
      <c r="N47" s="111"/>
    </row>
    <row r="48" customFormat="false" ht="24.25" hidden="false" customHeight="true" outlineLevel="0" collapsed="false">
      <c r="A48" s="79" t="n">
        <v>21</v>
      </c>
      <c r="B48" s="80" t="s">
        <v>152</v>
      </c>
      <c r="C48" s="80"/>
      <c r="D48" s="80"/>
      <c r="E48" s="80"/>
      <c r="F48" s="87" t="n">
        <f aca="false">B85</f>
        <v>81.9</v>
      </c>
      <c r="G48" s="87" t="n">
        <v>3.19</v>
      </c>
      <c r="H48" s="102" t="n">
        <f aca="false">$D$9-$E$9-3</f>
        <v>12.2</v>
      </c>
      <c r="I48" s="103" t="n">
        <f aca="false">F48*G48*H48</f>
        <v>3187.3842</v>
      </c>
      <c r="J48" s="102" t="n">
        <f aca="false">$D$15-$E$15-3</f>
        <v>7.3</v>
      </c>
      <c r="K48" s="103" t="n">
        <f aca="false">F48*G48*J48</f>
        <v>1907.2053</v>
      </c>
      <c r="M48" s="111"/>
      <c r="N48" s="111"/>
    </row>
    <row r="49" customFormat="false" ht="13.05" hidden="false" customHeight="true" outlineLevel="0" collapsed="false">
      <c r="A49" s="79" t="n">
        <v>22</v>
      </c>
      <c r="B49" s="80" t="s">
        <v>153</v>
      </c>
      <c r="C49" s="80"/>
      <c r="D49" s="80"/>
      <c r="E49" s="80"/>
      <c r="F49" s="87"/>
      <c r="G49" s="87" t="n">
        <v>5.23</v>
      </c>
      <c r="H49" s="102" t="n">
        <f aca="false">M49+(25.6-$E$9)+($D$9-0.5*$F$12-29.4)</f>
        <v>5.05000000000001</v>
      </c>
      <c r="I49" s="103" t="n">
        <f aca="false">F49*G49*H49</f>
        <v>0</v>
      </c>
      <c r="J49" s="102" t="n">
        <f aca="false">N49+(25.6-$E$15)+($D$15-0.5*$F$18-29.4)</f>
        <v>0.15</v>
      </c>
      <c r="K49" s="103" t="n">
        <f aca="false">F49*G49*J49</f>
        <v>0</v>
      </c>
      <c r="M49" s="109" t="n">
        <f aca="false">INDEX(O49:AA49,1,MATCH(MAX($O$64:$AA$64),$O$64:$AA$64,0))</f>
        <v>-1.1</v>
      </c>
      <c r="N49" s="110" t="n">
        <f aca="false">INDEX(O49:AA49,1,MATCH(MAX($O$65:$AA$65),$O$65:$AA$65,0))</f>
        <v>-1.1</v>
      </c>
      <c r="O49" s="108" t="n">
        <f aca="false">VALUES!C$61</f>
        <v>-1.1</v>
      </c>
      <c r="P49" s="108" t="n">
        <f aca="false">VALUES!D$61</f>
        <v>-1.1</v>
      </c>
      <c r="Q49" s="108" t="n">
        <f aca="false">VALUES!E$61</f>
        <v>0</v>
      </c>
      <c r="R49" s="108" t="n">
        <f aca="false">VALUES!F$61</f>
        <v>1.1</v>
      </c>
      <c r="S49" s="108" t="n">
        <f aca="false">VALUES!G$61</f>
        <v>2.2</v>
      </c>
      <c r="T49" s="108" t="n">
        <f aca="false">VALUES!H$61</f>
        <v>3.9</v>
      </c>
      <c r="U49" s="108" t="n">
        <f aca="false">VALUES!I$61</f>
        <v>5</v>
      </c>
      <c r="V49" s="108" t="n">
        <f aca="false">VALUES!J$61</f>
        <v>6.7</v>
      </c>
      <c r="W49" s="108" t="n">
        <f aca="false">VALUES!K$61</f>
        <v>7.2</v>
      </c>
      <c r="X49" s="108" t="n">
        <f aca="false">VALUES!L$61</f>
        <v>7.8</v>
      </c>
      <c r="Y49" s="108" t="n">
        <f aca="false">VALUES!M$61</f>
        <v>7.8</v>
      </c>
      <c r="Z49" s="108" t="n">
        <f aca="false">VALUES!N$61</f>
        <v>7.2</v>
      </c>
      <c r="AA49" s="108" t="n">
        <f aca="false">VALUES!O$61</f>
        <v>6.7</v>
      </c>
    </row>
    <row r="50" customFormat="false" ht="13.05" hidden="false" customHeight="true" outlineLevel="0" collapsed="false">
      <c r="A50" s="79" t="n">
        <v>23</v>
      </c>
      <c r="B50" s="82" t="s">
        <v>154</v>
      </c>
      <c r="C50" s="82"/>
      <c r="D50" s="82"/>
      <c r="E50" s="82"/>
      <c r="F50" s="87"/>
      <c r="G50" s="87"/>
      <c r="H50" s="87"/>
      <c r="I50" s="103" t="n">
        <f aca="false">F50*G50*H50</f>
        <v>0</v>
      </c>
      <c r="J50" s="87"/>
      <c r="K50" s="103" t="n">
        <f aca="false">F50*G50*J50</f>
        <v>0</v>
      </c>
      <c r="L50" s="72"/>
      <c r="M50" s="111"/>
      <c r="N50" s="111"/>
    </row>
    <row r="51" s="117" customFormat="true" ht="13.05" hidden="false" customHeight="true" outlineLevel="0" collapsed="false">
      <c r="A51" s="112" t="s">
        <v>22</v>
      </c>
      <c r="B51" s="113" t="s">
        <v>155</v>
      </c>
      <c r="C51" s="113"/>
      <c r="D51" s="113"/>
      <c r="E51" s="113"/>
      <c r="F51" s="112"/>
      <c r="G51" s="112"/>
      <c r="H51" s="112"/>
      <c r="I51" s="114" t="n">
        <f aca="false">SUM(I28:I50)</f>
        <v>10213.3764</v>
      </c>
      <c r="J51" s="112"/>
      <c r="K51" s="114" t="n">
        <f aca="false">SUM(K28:K50)</f>
        <v>6111.2826</v>
      </c>
      <c r="L51" s="115"/>
      <c r="M51" s="116"/>
      <c r="N51" s="116"/>
      <c r="AMJ51" s="71"/>
    </row>
    <row r="52" s="117" customFormat="true" ht="12.8" hidden="false" customHeight="false" outlineLevel="0" collapsed="false">
      <c r="M52" s="116"/>
      <c r="N52" s="116"/>
    </row>
    <row r="53" customFormat="false" ht="13.05" hidden="false" customHeight="true" outlineLevel="0" collapsed="false">
      <c r="A53" s="101" t="s">
        <v>156</v>
      </c>
      <c r="B53" s="72"/>
      <c r="C53" s="72"/>
      <c r="D53" s="72"/>
      <c r="E53" s="72"/>
      <c r="F53" s="118" t="s">
        <v>97</v>
      </c>
      <c r="G53" s="118"/>
      <c r="H53" s="118"/>
      <c r="I53" s="119" t="s">
        <v>107</v>
      </c>
      <c r="J53" s="119"/>
      <c r="K53" s="119"/>
      <c r="L53" s="105"/>
      <c r="M53" s="120"/>
      <c r="N53" s="121"/>
    </row>
    <row r="54" customFormat="false" ht="35.4" hidden="false" customHeight="true" outlineLevel="0" collapsed="false">
      <c r="A54" s="118" t="s">
        <v>157</v>
      </c>
      <c r="B54" s="118" t="s">
        <v>121</v>
      </c>
      <c r="C54" s="118"/>
      <c r="D54" s="118" t="s">
        <v>158</v>
      </c>
      <c r="E54" s="118" t="s">
        <v>159</v>
      </c>
      <c r="F54" s="118" t="s">
        <v>160</v>
      </c>
      <c r="G54" s="118" t="s">
        <v>161</v>
      </c>
      <c r="H54" s="118" t="s">
        <v>162</v>
      </c>
      <c r="I54" s="118" t="s">
        <v>160</v>
      </c>
      <c r="J54" s="118" t="s">
        <v>161</v>
      </c>
      <c r="K54" s="118" t="s">
        <v>162</v>
      </c>
      <c r="L54" s="122" t="s">
        <v>163</v>
      </c>
      <c r="M54" s="123" t="n">
        <f aca="false">INDEX(O54:AA54,1,MATCH(MAX($O$64:$AA$64),$O$64:$AA$64,0))</f>
        <v>6</v>
      </c>
      <c r="N54" s="123" t="n">
        <f aca="false">INDEX(O54:AA54,1,MATCH(MAX($O$65:$AA$65),$O$65:$AA$65,0))</f>
        <v>6</v>
      </c>
      <c r="O54" s="104" t="n">
        <f aca="false">VALUES!$C$21</f>
        <v>6</v>
      </c>
      <c r="P54" s="104" t="n">
        <f aca="false">VALUES!$D$21</f>
        <v>7</v>
      </c>
      <c r="Q54" s="104" t="n">
        <f aca="false">VALUES!$E$21</f>
        <v>8</v>
      </c>
      <c r="R54" s="104" t="n">
        <f aca="false">VALUES!$F$21</f>
        <v>9</v>
      </c>
      <c r="S54" s="104" t="n">
        <f aca="false">VALUES!$G$21</f>
        <v>10</v>
      </c>
      <c r="T54" s="104" t="n">
        <f aca="false">VALUES!$H$21</f>
        <v>11</v>
      </c>
      <c r="U54" s="104" t="n">
        <f aca="false">VALUES!$I$21</f>
        <v>12</v>
      </c>
      <c r="V54" s="104" t="n">
        <f aca="false">VALUES!$J$21</f>
        <v>13</v>
      </c>
      <c r="W54" s="104" t="n">
        <f aca="false">VALUES!$K$21</f>
        <v>14</v>
      </c>
      <c r="X54" s="104" t="n">
        <f aca="false">VALUES!$L$21</f>
        <v>15</v>
      </c>
      <c r="Y54" s="104" t="n">
        <f aca="false">VALUES!$M$21</f>
        <v>16</v>
      </c>
      <c r="Z54" s="104" t="n">
        <f aca="false">VALUES!$N$21</f>
        <v>17</v>
      </c>
      <c r="AA54" s="104" t="n">
        <f aca="false">VALUES!$O$21</f>
        <v>18</v>
      </c>
    </row>
    <row r="55" customFormat="false" ht="13.05" hidden="false" customHeight="true" outlineLevel="0" collapsed="false">
      <c r="A55" s="79" t="n">
        <v>1</v>
      </c>
      <c r="B55" s="124" t="s">
        <v>140</v>
      </c>
      <c r="C55" s="124"/>
      <c r="D55" s="79" t="n">
        <f aca="false">F36</f>
        <v>0</v>
      </c>
      <c r="E55" s="87" t="n">
        <v>0.7</v>
      </c>
      <c r="F55" s="102" t="n">
        <f aca="false">M55</f>
        <v>0.73</v>
      </c>
      <c r="G55" s="79" t="n">
        <f aca="false">VALUES!$D$8</f>
        <v>237</v>
      </c>
      <c r="H55" s="125" t="n">
        <f aca="false">D55*G55*E55*F55</f>
        <v>0</v>
      </c>
      <c r="I55" s="102" t="n">
        <f aca="false">N55</f>
        <v>0.73</v>
      </c>
      <c r="J55" s="79" t="n">
        <f aca="false">VALUES!$F$8</f>
        <v>101</v>
      </c>
      <c r="K55" s="103" t="n">
        <f aca="false">D55*E55*I55*J55</f>
        <v>0</v>
      </c>
      <c r="L55" s="105"/>
      <c r="M55" s="109" t="n">
        <f aca="false">INDEX(O55:AA55,1,MATCH(MAX($O$64:$AA$64),$O$64:$AA$64,0))</f>
        <v>0.73</v>
      </c>
      <c r="N55" s="106" t="n">
        <f aca="false">INDEX(O55:AA55,1,MATCH(MAX($O$65:$AA$65),$O$65:$AA$65,0))</f>
        <v>0.73</v>
      </c>
      <c r="O55" s="70" t="n">
        <f aca="false">VALUES!$C$23</f>
        <v>0.73</v>
      </c>
      <c r="P55" s="70" t="n">
        <f aca="false">VALUES!$D$23</f>
        <v>0.66</v>
      </c>
      <c r="Q55" s="70" t="n">
        <f aca="false">VALUES!$E$23</f>
        <v>0.65</v>
      </c>
      <c r="R55" s="70" t="n">
        <f aca="false">VALUES!$F$23</f>
        <v>0.73</v>
      </c>
      <c r="S55" s="70" t="n">
        <f aca="false">VALUES!$G$23</f>
        <v>0.8</v>
      </c>
      <c r="T55" s="70" t="n">
        <f aca="false">VALUES!$H$23</f>
        <v>0.86</v>
      </c>
      <c r="U55" s="70" t="n">
        <f aca="false">VALUES!$I$23</f>
        <v>0.89</v>
      </c>
      <c r="V55" s="70" t="n">
        <f aca="false">VALUES!$J$23</f>
        <v>0.89</v>
      </c>
      <c r="W55" s="70" t="n">
        <f aca="false">VALUES!$K$23</f>
        <v>0.86</v>
      </c>
      <c r="X55" s="70" t="n">
        <f aca="false">VALUES!$L$23</f>
        <v>0.82</v>
      </c>
      <c r="Y55" s="70" t="n">
        <f aca="false">VALUES!$M$23</f>
        <v>0.75</v>
      </c>
      <c r="Z55" s="70" t="n">
        <f aca="false">VALUES!$N$23</f>
        <v>0.78</v>
      </c>
      <c r="AA55" s="70" t="n">
        <f aca="false">VALUES!$O$23</f>
        <v>0.91</v>
      </c>
    </row>
    <row r="56" customFormat="false" ht="13.05" hidden="false" customHeight="true" outlineLevel="0" collapsed="false">
      <c r="A56" s="79" t="n">
        <v>2</v>
      </c>
      <c r="B56" s="124" t="s">
        <v>141</v>
      </c>
      <c r="C56" s="124"/>
      <c r="D56" s="79" t="n">
        <f aca="false">F37</f>
        <v>0</v>
      </c>
      <c r="E56" s="87" t="n">
        <v>0.7</v>
      </c>
      <c r="F56" s="102" t="n">
        <f aca="false">M56</f>
        <v>0.56</v>
      </c>
      <c r="G56" s="79" t="n">
        <f aca="false">VALUES!$D$9</f>
        <v>625</v>
      </c>
      <c r="H56" s="103" t="n">
        <f aca="false">D56*G56*E56*F56</f>
        <v>0</v>
      </c>
      <c r="I56" s="102" t="n">
        <f aca="false">N56</f>
        <v>0.56</v>
      </c>
      <c r="J56" s="79" t="n">
        <f aca="false">VALUES!$F$9</f>
        <v>199</v>
      </c>
      <c r="K56" s="103" t="n">
        <f aca="false">D56*E56*I56*J56</f>
        <v>0</v>
      </c>
      <c r="L56" s="105"/>
      <c r="M56" s="109" t="n">
        <f aca="false">INDEX(O56:AA56,1,MATCH(MAX($O$64:$AA$64),$O$64:$AA$64,0))</f>
        <v>0.56</v>
      </c>
      <c r="N56" s="109" t="n">
        <f aca="false">INDEX(O56:AA56,1,MATCH(MAX($O$65:$AA$65),$O$65:$AA$65,0))</f>
        <v>0.56</v>
      </c>
      <c r="O56" s="70" t="n">
        <f aca="false">VALUES!$C$24</f>
        <v>0.56</v>
      </c>
      <c r="P56" s="70" t="n">
        <f aca="false">VALUES!$D$24</f>
        <v>0.76</v>
      </c>
      <c r="Q56" s="70" t="n">
        <f aca="false">VALUES!$E$24</f>
        <v>0.74</v>
      </c>
      <c r="R56" s="70" t="n">
        <f aca="false">VALUES!$F$24</f>
        <v>0.58</v>
      </c>
      <c r="S56" s="70" t="n">
        <f aca="false">VALUES!$G$24</f>
        <v>0.37</v>
      </c>
      <c r="T56" s="70" t="n">
        <f aca="false">VALUES!$H$24</f>
        <v>0.29</v>
      </c>
      <c r="U56" s="70" t="n">
        <f aca="false">VALUES!$I$24</f>
        <v>0.27</v>
      </c>
      <c r="V56" s="70" t="n">
        <f aca="false">VALUES!$J$24</f>
        <v>0.26</v>
      </c>
      <c r="W56" s="70" t="n">
        <f aca="false">VALUES!$K$24</f>
        <v>0.24</v>
      </c>
      <c r="X56" s="70" t="n">
        <f aca="false">VALUES!$L$24</f>
        <v>0.22</v>
      </c>
      <c r="Y56" s="70" t="n">
        <f aca="false">VALUES!$M$24</f>
        <v>0.2</v>
      </c>
      <c r="Z56" s="70" t="n">
        <f aca="false">VALUES!$N$24</f>
        <v>0.16</v>
      </c>
      <c r="AA56" s="70" t="n">
        <f aca="false">VALUES!$O$24</f>
        <v>0.12</v>
      </c>
    </row>
    <row r="57" customFormat="false" ht="13.05" hidden="false" customHeight="true" outlineLevel="0" collapsed="false">
      <c r="A57" s="79" t="n">
        <v>3</v>
      </c>
      <c r="B57" s="124" t="s">
        <v>142</v>
      </c>
      <c r="C57" s="124"/>
      <c r="D57" s="79" t="n">
        <f aca="false">F38</f>
        <v>0</v>
      </c>
      <c r="E57" s="87" t="n">
        <v>0.7</v>
      </c>
      <c r="F57" s="102" t="n">
        <f aca="false">M57</f>
        <v>0.47</v>
      </c>
      <c r="G57" s="79" t="n">
        <f aca="false">VALUES!$D$10</f>
        <v>644</v>
      </c>
      <c r="H57" s="103" t="n">
        <f aca="false">D57*G57*E57*F57</f>
        <v>0</v>
      </c>
      <c r="I57" s="102" t="n">
        <f aca="false">N57</f>
        <v>0.47</v>
      </c>
      <c r="J57" s="79" t="n">
        <f aca="false">VALUES!$F$10</f>
        <v>675</v>
      </c>
      <c r="K57" s="103" t="n">
        <f aca="false">D57*E57*I57*J57</f>
        <v>0</v>
      </c>
      <c r="L57" s="105"/>
      <c r="M57" s="109" t="n">
        <f aca="false">INDEX(O57:AA57,1,MATCH(MAX($O$64:$AA$64),$O$64:$AA$64,0))</f>
        <v>0.47</v>
      </c>
      <c r="N57" s="109" t="n">
        <f aca="false">INDEX(O57:AA57,1,MATCH(MAX($O$65:$AA$65),$O$65:$AA$65,0))</f>
        <v>0.47</v>
      </c>
      <c r="O57" s="70" t="n">
        <f aca="false">VALUES!$C$25</f>
        <v>0.47</v>
      </c>
      <c r="P57" s="70" t="n">
        <f aca="false">VALUES!$D$25</f>
        <v>0.72</v>
      </c>
      <c r="Q57" s="70" t="n">
        <f aca="false">VALUES!$E$25</f>
        <v>0.8</v>
      </c>
      <c r="R57" s="70" t="n">
        <f aca="false">VALUES!$F$25</f>
        <v>0.76</v>
      </c>
      <c r="S57" s="70" t="n">
        <f aca="false">VALUES!$G$25</f>
        <v>0.62</v>
      </c>
      <c r="T57" s="70" t="n">
        <f aca="false">VALUES!$H$25</f>
        <v>0.41</v>
      </c>
      <c r="U57" s="70" t="n">
        <f aca="false">VALUES!$I$25</f>
        <v>0.27</v>
      </c>
      <c r="V57" s="70" t="n">
        <f aca="false">VALUES!$J$25</f>
        <v>0.26</v>
      </c>
      <c r="W57" s="70" t="n">
        <f aca="false">VALUES!$K$25</f>
        <v>0.24</v>
      </c>
      <c r="X57" s="70" t="n">
        <f aca="false">VALUES!$L$25</f>
        <v>0.22</v>
      </c>
      <c r="Y57" s="70" t="n">
        <f aca="false">VALUES!$M$25</f>
        <v>0.2</v>
      </c>
      <c r="Z57" s="70" t="n">
        <f aca="false">VALUES!$N$25</f>
        <v>0.16</v>
      </c>
      <c r="AA57" s="70" t="n">
        <f aca="false">VALUES!$O$25</f>
        <v>0.12</v>
      </c>
    </row>
    <row r="58" customFormat="false" ht="13.05" hidden="false" customHeight="true" outlineLevel="0" collapsed="false">
      <c r="A58" s="79" t="n">
        <v>4</v>
      </c>
      <c r="B58" s="124" t="s">
        <v>143</v>
      </c>
      <c r="C58" s="124"/>
      <c r="D58" s="79" t="n">
        <f aca="false">F39</f>
        <v>0</v>
      </c>
      <c r="E58" s="87" t="n">
        <v>0.7</v>
      </c>
      <c r="F58" s="102" t="n">
        <f aca="false">M58</f>
        <v>0.3</v>
      </c>
      <c r="G58" s="79" t="n">
        <f aca="false">VALUES!$D$11</f>
        <v>284</v>
      </c>
      <c r="H58" s="103" t="n">
        <f aca="false">D58*G58*E58*F58</f>
        <v>0</v>
      </c>
      <c r="I58" s="102" t="n">
        <f aca="false">N58</f>
        <v>0.3</v>
      </c>
      <c r="J58" s="79" t="n">
        <f aca="false">VALUES!$F$11</f>
        <v>767</v>
      </c>
      <c r="K58" s="103" t="n">
        <f aca="false">D58*E58*I58*J58</f>
        <v>0</v>
      </c>
      <c r="L58" s="105"/>
      <c r="M58" s="109" t="n">
        <f aca="false">INDEX(O58:AA58,1,MATCH(MAX($O$64:$AA$64),$O$64:$AA$64,0))</f>
        <v>0.3</v>
      </c>
      <c r="N58" s="109" t="n">
        <f aca="false">INDEX(O58:AA58,1,MATCH(MAX($O$65:$AA$65),$O$65:$AA$65,0))</f>
        <v>0.3</v>
      </c>
      <c r="O58" s="70" t="n">
        <f aca="false">VALUES!$C$26</f>
        <v>0.3</v>
      </c>
      <c r="P58" s="70" t="n">
        <f aca="false">VALUES!$D$26</f>
        <v>0.57</v>
      </c>
      <c r="Q58" s="70" t="n">
        <f aca="false">VALUES!$E$26</f>
        <v>0.74</v>
      </c>
      <c r="R58" s="70" t="n">
        <f aca="false">VALUES!$F$26</f>
        <v>0.81</v>
      </c>
      <c r="S58" s="70" t="n">
        <f aca="false">VALUES!$G$26</f>
        <v>0.79</v>
      </c>
      <c r="T58" s="70" t="n">
        <f aca="false">VALUES!$H$26</f>
        <v>0.68</v>
      </c>
      <c r="U58" s="70" t="n">
        <f aca="false">VALUES!$I$26</f>
        <v>0.49</v>
      </c>
      <c r="V58" s="70" t="n">
        <f aca="false">VALUES!$J$26</f>
        <v>0.33</v>
      </c>
      <c r="W58" s="70" t="n">
        <f aca="false">VALUES!$K$26</f>
        <v>0.28</v>
      </c>
      <c r="X58" s="70" t="n">
        <f aca="false">VALUES!$L$26</f>
        <v>0.25</v>
      </c>
      <c r="Y58" s="70" t="n">
        <f aca="false">VALUES!$M$26</f>
        <v>0.22</v>
      </c>
      <c r="Z58" s="70" t="n">
        <f aca="false">VALUES!$N$26</f>
        <v>0.18</v>
      </c>
      <c r="AA58" s="70" t="n">
        <f aca="false">VALUES!$O$26</f>
        <v>0.13</v>
      </c>
    </row>
    <row r="59" customFormat="false" ht="13.05" hidden="false" customHeight="true" outlineLevel="0" collapsed="false">
      <c r="A59" s="79" t="n">
        <v>5</v>
      </c>
      <c r="B59" s="124" t="s">
        <v>144</v>
      </c>
      <c r="C59" s="124"/>
      <c r="D59" s="79" t="n">
        <f aca="false">F40</f>
        <v>0</v>
      </c>
      <c r="E59" s="87" t="n">
        <v>0.7</v>
      </c>
      <c r="F59" s="102" t="n">
        <f aca="false">M59</f>
        <v>0.09</v>
      </c>
      <c r="G59" s="79" t="n">
        <f aca="false">VALUES!$D$12</f>
        <v>126</v>
      </c>
      <c r="H59" s="103" t="n">
        <f aca="false">D59*G59*E59*F59</f>
        <v>0</v>
      </c>
      <c r="I59" s="102" t="n">
        <f aca="false">N59</f>
        <v>0.09</v>
      </c>
      <c r="J59" s="79" t="n">
        <f aca="false">VALUES!$F$12</f>
        <v>565</v>
      </c>
      <c r="K59" s="103" t="n">
        <f aca="false">D59*E59*I59*J59</f>
        <v>0</v>
      </c>
      <c r="L59" s="105"/>
      <c r="M59" s="109" t="n">
        <f aca="false">INDEX(O59:AA59,1,MATCH(MAX($O$64:$AA$64),$O$64:$AA$64,0))</f>
        <v>0.09</v>
      </c>
      <c r="N59" s="109" t="n">
        <f aca="false">INDEX(O59:AA59,1,MATCH(MAX($O$65:$AA$65),$O$65:$AA$65,0))</f>
        <v>0.09</v>
      </c>
      <c r="O59" s="70" t="n">
        <f aca="false">VALUES!$C$27</f>
        <v>0.09</v>
      </c>
      <c r="P59" s="70" t="n">
        <f aca="false">VALUES!$D$27</f>
        <v>0.16</v>
      </c>
      <c r="Q59" s="70" t="n">
        <f aca="false">VALUES!$E$27</f>
        <v>0.23</v>
      </c>
      <c r="R59" s="70" t="n">
        <f aca="false">VALUES!$F$27</f>
        <v>0.38</v>
      </c>
      <c r="S59" s="70" t="n">
        <f aca="false">VALUES!$G$27</f>
        <v>0.58</v>
      </c>
      <c r="T59" s="70" t="n">
        <f aca="false">VALUES!$H$27</f>
        <v>0.75</v>
      </c>
      <c r="U59" s="70" t="n">
        <f aca="false">VALUES!$I$27</f>
        <v>0.83</v>
      </c>
      <c r="V59" s="70" t="n">
        <f aca="false">VALUES!$J$27</f>
        <v>0.8</v>
      </c>
      <c r="W59" s="70" t="n">
        <f aca="false">VALUES!$K$27</f>
        <v>0.68</v>
      </c>
      <c r="X59" s="70" t="n">
        <f aca="false">VALUES!$L$27</f>
        <v>0.5</v>
      </c>
      <c r="Y59" s="70" t="n">
        <f aca="false">VALUES!$M$27</f>
        <v>0.35</v>
      </c>
      <c r="Z59" s="70" t="n">
        <f aca="false">VALUES!$N$27</f>
        <v>0.27</v>
      </c>
      <c r="AA59" s="70" t="n">
        <f aca="false">VALUES!$O$27</f>
        <v>0.19</v>
      </c>
    </row>
    <row r="60" customFormat="false" ht="13.05" hidden="false" customHeight="true" outlineLevel="0" collapsed="false">
      <c r="A60" s="79" t="n">
        <v>6</v>
      </c>
      <c r="B60" s="124" t="s">
        <v>145</v>
      </c>
      <c r="C60" s="124"/>
      <c r="D60" s="79" t="n">
        <f aca="false">F41</f>
        <v>0</v>
      </c>
      <c r="E60" s="87" t="n">
        <v>0.7</v>
      </c>
      <c r="F60" s="102" t="n">
        <f aca="false">M60</f>
        <v>0.07</v>
      </c>
      <c r="G60" s="79" t="n">
        <f aca="false">VALUES!$D$13</f>
        <v>284</v>
      </c>
      <c r="H60" s="103" t="n">
        <f aca="false">D60*G60*E60*F60</f>
        <v>0</v>
      </c>
      <c r="I60" s="102" t="n">
        <f aca="false">N60</f>
        <v>0.07</v>
      </c>
      <c r="J60" s="79" t="n">
        <f aca="false">VALUES!$F$13</f>
        <v>767</v>
      </c>
      <c r="K60" s="103" t="n">
        <f aca="false">D60*E60*I60*J60</f>
        <v>0</v>
      </c>
      <c r="L60" s="105"/>
      <c r="M60" s="109" t="n">
        <f aca="false">INDEX(O60:AA60,1,MATCH(MAX($O$64:$AA$64),$O$64:$AA$64,0))</f>
        <v>0.07</v>
      </c>
      <c r="N60" s="109" t="n">
        <f aca="false">INDEX(O60:AA60,1,MATCH(MAX($O$65:$AA$65),$O$65:$AA$65,0))</f>
        <v>0.07</v>
      </c>
      <c r="O60" s="70" t="n">
        <f aca="false">VALUES!$C$28</f>
        <v>0.07</v>
      </c>
      <c r="P60" s="70" t="n">
        <f aca="false">VALUES!$D$28</f>
        <v>0.11</v>
      </c>
      <c r="Q60" s="70" t="n">
        <f aca="false">VALUES!$E$28</f>
        <v>0.14</v>
      </c>
      <c r="R60" s="70" t="n">
        <f aca="false">VALUES!$F$28</f>
        <v>0.16</v>
      </c>
      <c r="S60" s="70" t="n">
        <f aca="false">VALUES!$G$28</f>
        <v>0.19</v>
      </c>
      <c r="T60" s="70" t="n">
        <f aca="false">VALUES!$H$28</f>
        <v>0.22</v>
      </c>
      <c r="U60" s="70" t="n">
        <f aca="false">VALUES!$I$28</f>
        <v>0.38</v>
      </c>
      <c r="V60" s="70" t="n">
        <f aca="false">VALUES!$J$28</f>
        <v>0.59</v>
      </c>
      <c r="W60" s="70" t="n">
        <f aca="false">VALUES!$K$28</f>
        <v>0.75</v>
      </c>
      <c r="X60" s="70" t="n">
        <f aca="false">VALUES!$L$28</f>
        <v>0.83</v>
      </c>
      <c r="Y60" s="70" t="n">
        <f aca="false">VALUES!$M$28</f>
        <v>0.81</v>
      </c>
      <c r="Z60" s="70" t="n">
        <f aca="false">VALUES!$N$28</f>
        <v>0.69</v>
      </c>
      <c r="AA60" s="70" t="n">
        <f aca="false">VALUES!$O$28</f>
        <v>0.45</v>
      </c>
    </row>
    <row r="61" customFormat="false" ht="13.05" hidden="false" customHeight="true" outlineLevel="0" collapsed="false">
      <c r="A61" s="79" t="n">
        <v>7</v>
      </c>
      <c r="B61" s="124" t="s">
        <v>146</v>
      </c>
      <c r="C61" s="124"/>
      <c r="D61" s="79" t="n">
        <f aca="false">F42</f>
        <v>0</v>
      </c>
      <c r="E61" s="87" t="n">
        <v>0.7</v>
      </c>
      <c r="F61" s="102" t="n">
        <f aca="false">M61</f>
        <v>0.06</v>
      </c>
      <c r="G61" s="79" t="n">
        <f aca="false">VALUES!$D$14</f>
        <v>644</v>
      </c>
      <c r="H61" s="103" t="n">
        <f aca="false">D61*G61*E61*F61</f>
        <v>0</v>
      </c>
      <c r="I61" s="102" t="n">
        <f aca="false">N61</f>
        <v>0.06</v>
      </c>
      <c r="J61" s="79" t="n">
        <f aca="false">VALUES!$F$14</f>
        <v>675</v>
      </c>
      <c r="K61" s="103" t="n">
        <f aca="false">D61*E61*I61*J61</f>
        <v>0</v>
      </c>
      <c r="L61" s="105"/>
      <c r="M61" s="109" t="n">
        <f aca="false">INDEX(O61:AA61,1,MATCH(MAX($O$64:$AA$64),$O$64:$AA$64,0))</f>
        <v>0.06</v>
      </c>
      <c r="N61" s="109" t="n">
        <f aca="false">INDEX(O61:AA61,1,MATCH(MAX($O$65:$AA$65),$O$65:$AA$65,0))</f>
        <v>0.06</v>
      </c>
      <c r="O61" s="70" t="n">
        <f aca="false">VALUES!$C$29</f>
        <v>0.06</v>
      </c>
      <c r="P61" s="70" t="n">
        <f aca="false">VALUES!$D$29</f>
        <v>0.09</v>
      </c>
      <c r="Q61" s="70" t="n">
        <f aca="false">VALUES!$E$29</f>
        <v>0.11</v>
      </c>
      <c r="R61" s="70" t="n">
        <f aca="false">VALUES!$F$29</f>
        <v>0.13</v>
      </c>
      <c r="S61" s="70" t="n">
        <f aca="false">VALUES!$G$29</f>
        <v>0.15</v>
      </c>
      <c r="T61" s="70" t="n">
        <f aca="false">VALUES!$H$29</f>
        <v>0.16</v>
      </c>
      <c r="U61" s="70" t="n">
        <f aca="false">VALUES!$I$29</f>
        <v>0.17</v>
      </c>
      <c r="V61" s="70" t="n">
        <f aca="false">VALUES!$J$29</f>
        <v>0.31</v>
      </c>
      <c r="W61" s="70" t="n">
        <f aca="false">VALUES!$K$29</f>
        <v>0.53</v>
      </c>
      <c r="X61" s="70" t="n">
        <f aca="false">VALUES!$L$29</f>
        <v>0.72</v>
      </c>
      <c r="Y61" s="70" t="n">
        <f aca="false">VALUES!$M$29</f>
        <v>0.82</v>
      </c>
      <c r="Z61" s="70" t="n">
        <f aca="false">VALUES!$N$29</f>
        <v>0.81</v>
      </c>
      <c r="AA61" s="70" t="n">
        <f aca="false">VALUES!$O$29</f>
        <v>0.61</v>
      </c>
    </row>
    <row r="62" customFormat="false" ht="13.05" hidden="false" customHeight="true" outlineLevel="0" collapsed="false">
      <c r="A62" s="79" t="n">
        <v>8</v>
      </c>
      <c r="B62" s="124" t="s">
        <v>147</v>
      </c>
      <c r="C62" s="124"/>
      <c r="D62" s="79" t="n">
        <f aca="false">F43</f>
        <v>0</v>
      </c>
      <c r="E62" s="87" t="n">
        <v>0.7</v>
      </c>
      <c r="F62" s="102" t="n">
        <f aca="false">M62</f>
        <v>0.07</v>
      </c>
      <c r="G62" s="79" t="n">
        <f aca="false">VALUES!$D$15</f>
        <v>625</v>
      </c>
      <c r="H62" s="103" t="n">
        <f aca="false">D62*G62*E62*F62</f>
        <v>0</v>
      </c>
      <c r="I62" s="102" t="n">
        <f aca="false">N62</f>
        <v>0.07</v>
      </c>
      <c r="J62" s="79" t="n">
        <f aca="false">VALUES!$F$15</f>
        <v>199</v>
      </c>
      <c r="K62" s="103" t="n">
        <f aca="false">D62*E62*I62*J62</f>
        <v>0</v>
      </c>
      <c r="L62" s="105"/>
      <c r="M62" s="109" t="n">
        <f aca="false">INDEX(O62:AA62,1,MATCH(MAX($O$64:$AA$64),$O$64:$AA$64,0))</f>
        <v>0.07</v>
      </c>
      <c r="N62" s="109" t="n">
        <f aca="false">INDEX(O62:AA62,1,MATCH(MAX($O$65:$AA$65),$O$65:$AA$65,0))</f>
        <v>0.07</v>
      </c>
      <c r="O62" s="70" t="n">
        <f aca="false">VALUES!$C$30</f>
        <v>0.07</v>
      </c>
      <c r="P62" s="70" t="n">
        <f aca="false">VALUES!$D$30</f>
        <v>0.11</v>
      </c>
      <c r="Q62" s="70" t="n">
        <f aca="false">VALUES!$E$30</f>
        <v>0.14</v>
      </c>
      <c r="R62" s="70" t="n">
        <f aca="false">VALUES!$F$30</f>
        <v>0.17</v>
      </c>
      <c r="S62" s="70" t="n">
        <f aca="false">VALUES!$G$30</f>
        <v>0.19</v>
      </c>
      <c r="T62" s="70" t="n">
        <f aca="false">VALUES!$H$30</f>
        <v>0.2</v>
      </c>
      <c r="U62" s="70" t="n">
        <f aca="false">VALUES!$I$30</f>
        <v>0.21</v>
      </c>
      <c r="V62" s="70" t="n">
        <f aca="false">VALUES!$J$30</f>
        <v>0.22</v>
      </c>
      <c r="W62" s="70" t="n">
        <f aca="false">VALUES!$K$30</f>
        <v>0.3</v>
      </c>
      <c r="X62" s="70" t="n">
        <f aca="false">VALUES!$L$30</f>
        <v>0.52</v>
      </c>
      <c r="Y62" s="70" t="n">
        <f aca="false">VALUES!$M$30</f>
        <v>0.73</v>
      </c>
      <c r="Z62" s="70" t="n">
        <f aca="false">VALUES!$N$30</f>
        <v>0.82</v>
      </c>
      <c r="AA62" s="70" t="n">
        <f aca="false">VALUES!$O$30</f>
        <v>0.69</v>
      </c>
    </row>
    <row r="63" customFormat="false" ht="13.05" hidden="false" customHeight="true" outlineLevel="0" collapsed="false">
      <c r="A63" s="79" t="n">
        <v>9</v>
      </c>
      <c r="B63" s="124" t="s">
        <v>164</v>
      </c>
      <c r="C63" s="124"/>
      <c r="D63" s="79" t="n">
        <f aca="false">F49</f>
        <v>0</v>
      </c>
      <c r="E63" s="87" t="n">
        <v>0.6</v>
      </c>
      <c r="F63" s="102" t="n">
        <f aca="false">M63</f>
        <v>0.12</v>
      </c>
      <c r="G63" s="79" t="n">
        <f aca="false">VALUES!$D$16</f>
        <v>864</v>
      </c>
      <c r="H63" s="103" t="n">
        <f aca="false">D63*G63*E63*F63</f>
        <v>0</v>
      </c>
      <c r="I63" s="102" t="n">
        <f aca="false">N63</f>
        <v>0.12</v>
      </c>
      <c r="J63" s="79" t="n">
        <f aca="false">VALUES!$F$16</f>
        <v>820</v>
      </c>
      <c r="K63" s="103" t="n">
        <f aca="false">D63*E63*I63*J63</f>
        <v>0</v>
      </c>
      <c r="L63" s="105"/>
      <c r="M63" s="109" t="n">
        <f aca="false">INDEX(O63:AA63,1,MATCH(MAX($O$64:$AA$64),$O$64:$AA$64,0))</f>
        <v>0.12</v>
      </c>
      <c r="N63" s="109" t="n">
        <f aca="false">INDEX(O63:AA63,1,MATCH(MAX($O$65:$AA$65),$O$65:$AA$65,0))</f>
        <v>0.12</v>
      </c>
      <c r="O63" s="70" t="n">
        <f aca="false">VALUES!$C$31</f>
        <v>0.12</v>
      </c>
      <c r="P63" s="70" t="n">
        <f aca="false">VALUES!$D$31</f>
        <v>0.27</v>
      </c>
      <c r="Q63" s="70" t="n">
        <f aca="false">VALUES!$E$31</f>
        <v>0.44</v>
      </c>
      <c r="R63" s="70" t="n">
        <f aca="false">VALUES!$F$31</f>
        <v>0.59</v>
      </c>
      <c r="S63" s="70" t="n">
        <f aca="false">VALUES!$G$31</f>
        <v>0.72</v>
      </c>
      <c r="T63" s="70" t="n">
        <f aca="false">VALUES!$H$31</f>
        <v>0.81</v>
      </c>
      <c r="U63" s="70" t="n">
        <f aca="false">VALUES!$I$31</f>
        <v>0.85</v>
      </c>
      <c r="V63" s="70" t="n">
        <f aca="false">VALUES!$J$31</f>
        <v>0.85</v>
      </c>
      <c r="W63" s="70" t="n">
        <f aca="false">VALUES!$K$31</f>
        <v>0.81</v>
      </c>
      <c r="X63" s="70" t="n">
        <f aca="false">VALUES!$L$31</f>
        <v>0.71</v>
      </c>
      <c r="Y63" s="70" t="n">
        <f aca="false">VALUES!$M$31</f>
        <v>0.58</v>
      </c>
      <c r="Z63" s="70" t="n">
        <f aca="false">VALUES!$N$31</f>
        <v>0.42</v>
      </c>
      <c r="AA63" s="70" t="n">
        <f aca="false">VALUES!$O$31</f>
        <v>0.25</v>
      </c>
    </row>
    <row r="64" customFormat="false" ht="13.05" hidden="false" customHeight="true" outlineLevel="0" collapsed="false">
      <c r="A64" s="79" t="n">
        <v>10</v>
      </c>
      <c r="B64" s="124" t="s">
        <v>154</v>
      </c>
      <c r="C64" s="124"/>
      <c r="D64" s="87"/>
      <c r="E64" s="87"/>
      <c r="F64" s="87"/>
      <c r="G64" s="87"/>
      <c r="H64" s="103" t="n">
        <f aca="false">D64*G64*E64*F64</f>
        <v>0</v>
      </c>
      <c r="I64" s="87"/>
      <c r="J64" s="87"/>
      <c r="K64" s="103" t="n">
        <f aca="false">D64*E64*I64*J64</f>
        <v>0</v>
      </c>
      <c r="L64" s="105"/>
      <c r="M64" s="123" t="n">
        <f aca="false">INDEX(O64:AA64,1,MATCH(MAX($O$64:$AA$64),$O$64:$AA$64,0))</f>
        <v>0</v>
      </c>
      <c r="N64" s="121"/>
      <c r="O64" s="126" t="n">
        <f aca="false">SUMPRODUCT(O55:O63, $E$55:$E$63, $D$55:$D$63, $G$55:$G$63)</f>
        <v>0</v>
      </c>
      <c r="P64" s="126" t="n">
        <f aca="false">SUMPRODUCT(P55:P63, $E$55:$E$63, $D$55:$D$63, $G$55:$G$63)</f>
        <v>0</v>
      </c>
      <c r="Q64" s="126" t="n">
        <f aca="false">SUMPRODUCT(Q55:Q63, $E$55:$E$63, $D$55:$D$63, $G$55:$G$63)</f>
        <v>0</v>
      </c>
      <c r="R64" s="126" t="n">
        <f aca="false">SUMPRODUCT(R55:R63, $E$55:$E$63, $D$55:$D$63, $G$55:$G$63)</f>
        <v>0</v>
      </c>
      <c r="S64" s="126" t="n">
        <f aca="false">SUMPRODUCT(S55:S63, $E$55:$E$63, $D$55:$D$63, $G$55:$G$63)</f>
        <v>0</v>
      </c>
      <c r="T64" s="126" t="n">
        <f aca="false">SUMPRODUCT(T55:T63, $E$55:$E$63, $D$55:$D$63, $G$55:$G$63)</f>
        <v>0</v>
      </c>
      <c r="U64" s="126" t="n">
        <f aca="false">SUMPRODUCT(U55:U63, $E$55:$E$63, $D$55:$D$63, $G$55:$G$63)</f>
        <v>0</v>
      </c>
      <c r="V64" s="126" t="n">
        <f aca="false">SUMPRODUCT(V55:V63, $E$55:$E$63, $D$55:$D$63, $G$55:$G$63)</f>
        <v>0</v>
      </c>
      <c r="W64" s="126" t="n">
        <f aca="false">SUMPRODUCT(W55:W63, $E$55:$E$63, $D$55:$D$63, $G$55:$G$63)</f>
        <v>0</v>
      </c>
      <c r="X64" s="126" t="n">
        <f aca="false">SUMPRODUCT(X55:X63, $E$55:$E$63, $D$55:$D$63, $G$55:$G$63)</f>
        <v>0</v>
      </c>
      <c r="Y64" s="126" t="n">
        <f aca="false">SUMPRODUCT(Y55:Y63, $E$55:$E$63, $D$55:$D$63, $G$55:$G$63)</f>
        <v>0</v>
      </c>
      <c r="Z64" s="126" t="n">
        <f aca="false">SUMPRODUCT(Z55:Z63, $E$55:$E$63, $D$55:$D$63, $G$55:$G$63)</f>
        <v>0</v>
      </c>
      <c r="AA64" s="126" t="n">
        <f aca="false">SUMPRODUCT(AA55:AA63, $E$55:$E$63, $D$55:$D$63, $G$55:$G$63)</f>
        <v>0</v>
      </c>
    </row>
    <row r="65" s="117" customFormat="true" ht="24.25" hidden="false" customHeight="true" outlineLevel="0" collapsed="false">
      <c r="A65" s="112" t="s">
        <v>4</v>
      </c>
      <c r="B65" s="127" t="s">
        <v>165</v>
      </c>
      <c r="C65" s="127"/>
      <c r="D65" s="112"/>
      <c r="E65" s="128"/>
      <c r="F65" s="112"/>
      <c r="G65" s="112"/>
      <c r="H65" s="114" t="n">
        <f aca="false">SUM(H55:H64)</f>
        <v>0</v>
      </c>
      <c r="I65" s="112"/>
      <c r="J65" s="112"/>
      <c r="K65" s="114" t="n">
        <f aca="false">SUM(K55:K64)</f>
        <v>0</v>
      </c>
      <c r="L65" s="105"/>
      <c r="M65" s="115"/>
      <c r="N65" s="123" t="n">
        <f aca="false">INDEX(O65:AA65,1,MATCH(MAX($O$65:$AA$65),$O$65:$AA$65,0))</f>
        <v>0</v>
      </c>
      <c r="O65" s="126" t="n">
        <f aca="false">SUMPRODUCT(O55:O63, $E$55:$E$63, $D$55:$D$63, $J$55:$J$63)</f>
        <v>0</v>
      </c>
      <c r="P65" s="126" t="n">
        <f aca="false">SUMPRODUCT(P55:P63, $E$55:$E$63, $D$55:$D$63, $J$55:$J$63)</f>
        <v>0</v>
      </c>
      <c r="Q65" s="126" t="n">
        <f aca="false">SUMPRODUCT(Q55:Q63, $E$55:$E$63, $D$55:$D$63, $J$55:$J$63)</f>
        <v>0</v>
      </c>
      <c r="R65" s="126" t="n">
        <f aca="false">SUMPRODUCT(R55:R63, $E$55:$E$63, $D$55:$D$63, $J$55:$J$63)</f>
        <v>0</v>
      </c>
      <c r="S65" s="126" t="n">
        <f aca="false">SUMPRODUCT(S55:S63, $E$55:$E$63, $D$55:$D$63, $J$55:$J$63)</f>
        <v>0</v>
      </c>
      <c r="T65" s="126" t="n">
        <f aca="false">SUMPRODUCT(T55:T63, $E$55:$E$63, $D$55:$D$63, $J$55:$J$63)</f>
        <v>0</v>
      </c>
      <c r="U65" s="126" t="n">
        <f aca="false">SUMPRODUCT(U55:U63, $E$55:$E$63, $D$55:$D$63, $J$55:$J$63)</f>
        <v>0</v>
      </c>
      <c r="V65" s="126" t="n">
        <f aca="false">SUMPRODUCT(V55:V63, $E$55:$E$63, $D$55:$D$63, $J$55:$J$63)</f>
        <v>0</v>
      </c>
      <c r="W65" s="126" t="n">
        <f aca="false">SUMPRODUCT(W55:W63, $E$55:$E$63, $D$55:$D$63, $J$55:$J$63)</f>
        <v>0</v>
      </c>
      <c r="X65" s="126" t="n">
        <f aca="false">SUMPRODUCT(X55:X63, $E$55:$E$63, $D$55:$D$63, $J$55:$J$63)</f>
        <v>0</v>
      </c>
      <c r="Y65" s="126" t="n">
        <f aca="false">SUMPRODUCT(Y55:Y63, $E$55:$E$63, $D$55:$D$63, $J$55:$J$63)</f>
        <v>0</v>
      </c>
      <c r="Z65" s="126" t="n">
        <f aca="false">SUMPRODUCT(Z55:Z63, $E$55:$E$63, $D$55:$D$63, $J$55:$J$63)</f>
        <v>0</v>
      </c>
      <c r="AA65" s="126" t="n">
        <f aca="false">SUMPRODUCT(AA55:AA63, $E$55:$E$63, $D$55:$D$63, $J$55:$J$63)</f>
        <v>0</v>
      </c>
      <c r="AMJ65" s="71"/>
    </row>
    <row r="66" s="117" customFormat="true" ht="12.8" hidden="false" customHeight="false" outlineLevel="0" collapsed="false"/>
    <row r="67" customFormat="false" ht="13.05" hidden="false" customHeight="false" outlineLevel="0" collapsed="false">
      <c r="A67" s="101" t="s">
        <v>166</v>
      </c>
      <c r="B67" s="76"/>
      <c r="C67" s="76"/>
      <c r="D67" s="76"/>
      <c r="E67" s="76"/>
      <c r="F67" s="79" t="s">
        <v>167</v>
      </c>
      <c r="G67" s="79" t="s">
        <v>168</v>
      </c>
      <c r="H67" s="79" t="s">
        <v>169</v>
      </c>
      <c r="L67" s="72"/>
      <c r="M67" s="72"/>
      <c r="N67" s="72"/>
    </row>
    <row r="68" customFormat="false" ht="12.8" hidden="false" customHeight="false" outlineLevel="0" collapsed="false">
      <c r="A68" s="79" t="n">
        <v>1</v>
      </c>
      <c r="B68" s="79" t="s">
        <v>170</v>
      </c>
      <c r="C68" s="87" t="n">
        <v>5</v>
      </c>
      <c r="D68" s="79" t="s">
        <v>171</v>
      </c>
      <c r="E68" s="87" t="n">
        <v>60</v>
      </c>
      <c r="F68" s="87" t="n">
        <v>1</v>
      </c>
      <c r="G68" s="103" t="n">
        <f aca="false">C68*E68*F68</f>
        <v>300</v>
      </c>
      <c r="H68" s="129"/>
      <c r="L68" s="72"/>
      <c r="M68" s="72"/>
      <c r="N68" s="72"/>
    </row>
    <row r="69" customFormat="false" ht="12.8" hidden="false" customHeight="false" outlineLevel="0" collapsed="false">
      <c r="A69" s="79" t="n">
        <v>2</v>
      </c>
      <c r="B69" s="79" t="s">
        <v>170</v>
      </c>
      <c r="C69" s="87" t="n">
        <v>5</v>
      </c>
      <c r="D69" s="79" t="s">
        <v>171</v>
      </c>
      <c r="E69" s="87" t="n">
        <v>70</v>
      </c>
      <c r="F69" s="80"/>
      <c r="G69" s="129"/>
      <c r="H69" s="103" t="n">
        <f aca="false">C69*E69</f>
        <v>350</v>
      </c>
      <c r="L69" s="72"/>
      <c r="M69" s="72"/>
      <c r="N69" s="72"/>
    </row>
    <row r="70" customFormat="false" ht="13.05" hidden="false" customHeight="true" outlineLevel="0" collapsed="false">
      <c r="A70" s="112" t="s">
        <v>46</v>
      </c>
      <c r="B70" s="127" t="s">
        <v>172</v>
      </c>
      <c r="C70" s="127"/>
      <c r="D70" s="127"/>
      <c r="E70" s="127"/>
      <c r="F70" s="127"/>
      <c r="G70" s="114" t="n">
        <f aca="false">SUM(G68:G69)</f>
        <v>300</v>
      </c>
      <c r="H70" s="114" t="n">
        <f aca="false">SUM(H68:H69)</f>
        <v>350</v>
      </c>
      <c r="L70" s="72"/>
      <c r="M70" s="72"/>
      <c r="N70" s="72"/>
    </row>
    <row r="71" s="117" customFormat="true" ht="12.8" hidden="false" customHeight="false" outlineLevel="0" collapsed="false"/>
    <row r="72" customFormat="false" ht="35.4" hidden="false" customHeight="false" outlineLevel="0" collapsed="false">
      <c r="A72" s="101" t="s">
        <v>173</v>
      </c>
      <c r="B72" s="101"/>
      <c r="C72" s="101"/>
      <c r="D72" s="101"/>
      <c r="E72" s="101"/>
      <c r="F72" s="79" t="s">
        <v>174</v>
      </c>
      <c r="G72" s="79" t="s">
        <v>167</v>
      </c>
      <c r="H72" s="79" t="s">
        <v>168</v>
      </c>
      <c r="I72" s="79" t="s">
        <v>169</v>
      </c>
      <c r="L72" s="72"/>
      <c r="M72" s="72"/>
      <c r="N72" s="72"/>
    </row>
    <row r="73" customFormat="false" ht="12.8" hidden="false" customHeight="false" outlineLevel="0" collapsed="false">
      <c r="A73" s="79" t="n">
        <v>1</v>
      </c>
      <c r="B73" s="80" t="s">
        <v>175</v>
      </c>
      <c r="C73" s="87"/>
      <c r="D73" s="79" t="s">
        <v>171</v>
      </c>
      <c r="E73" s="87" t="n">
        <v>20</v>
      </c>
      <c r="F73" s="87" t="n">
        <v>1</v>
      </c>
      <c r="G73" s="87" t="n">
        <v>1</v>
      </c>
      <c r="H73" s="103" t="n">
        <f aca="false">C73*E73*F73*G73</f>
        <v>0</v>
      </c>
      <c r="I73" s="129"/>
      <c r="L73" s="72"/>
      <c r="M73" s="72"/>
      <c r="N73" s="72"/>
    </row>
    <row r="74" customFormat="false" ht="13.05" hidden="false" customHeight="false" outlineLevel="0" collapsed="false">
      <c r="A74" s="79" t="n">
        <v>2</v>
      </c>
      <c r="B74" s="82" t="s">
        <v>176</v>
      </c>
      <c r="C74" s="87"/>
      <c r="D74" s="79" t="s">
        <v>171</v>
      </c>
      <c r="E74" s="87" t="n">
        <v>100</v>
      </c>
      <c r="F74" s="87" t="n">
        <v>0.4</v>
      </c>
      <c r="G74" s="87" t="n">
        <v>1</v>
      </c>
      <c r="H74" s="103" t="n">
        <f aca="false">C74*E74*F74*G74</f>
        <v>0</v>
      </c>
      <c r="I74" s="129"/>
      <c r="L74" s="72"/>
      <c r="M74" s="72"/>
      <c r="N74" s="72"/>
    </row>
    <row r="75" customFormat="false" ht="13.05" hidden="false" customHeight="false" outlineLevel="0" collapsed="false">
      <c r="A75" s="79" t="n">
        <v>3</v>
      </c>
      <c r="B75" s="82" t="s">
        <v>177</v>
      </c>
      <c r="C75" s="87"/>
      <c r="D75" s="79" t="s">
        <v>171</v>
      </c>
      <c r="E75" s="87" t="n">
        <v>1000</v>
      </c>
      <c r="F75" s="87" t="n">
        <v>0.4</v>
      </c>
      <c r="G75" s="87" t="n">
        <v>1</v>
      </c>
      <c r="H75" s="103" t="n">
        <f aca="false">C75*E75*F75*G75</f>
        <v>0</v>
      </c>
      <c r="I75" s="129"/>
      <c r="L75" s="72"/>
      <c r="M75" s="72"/>
      <c r="N75" s="72"/>
    </row>
    <row r="76" customFormat="false" ht="23.85" hidden="false" customHeight="false" outlineLevel="0" collapsed="false">
      <c r="A76" s="79" t="n">
        <v>4</v>
      </c>
      <c r="B76" s="82" t="s">
        <v>178</v>
      </c>
      <c r="C76" s="87"/>
      <c r="D76" s="87"/>
      <c r="E76" s="87"/>
      <c r="F76" s="87" t="n">
        <v>1</v>
      </c>
      <c r="G76" s="87" t="n">
        <v>1</v>
      </c>
      <c r="H76" s="103" t="n">
        <f aca="false">SUM(C76+D76+E76)*F76*G76</f>
        <v>0</v>
      </c>
      <c r="I76" s="129"/>
      <c r="L76" s="72"/>
      <c r="M76" s="72"/>
      <c r="N76" s="72"/>
    </row>
    <row r="77" customFormat="false" ht="23.85" hidden="false" customHeight="false" outlineLevel="0" collapsed="false">
      <c r="A77" s="79" t="n">
        <v>5</v>
      </c>
      <c r="B77" s="82" t="s">
        <v>179</v>
      </c>
      <c r="C77" s="87" t="n">
        <v>1</v>
      </c>
      <c r="D77" s="79" t="s">
        <v>171</v>
      </c>
      <c r="E77" s="87" t="n">
        <v>1000</v>
      </c>
      <c r="F77" s="87" t="n">
        <v>1</v>
      </c>
      <c r="G77" s="87" t="n">
        <v>1</v>
      </c>
      <c r="H77" s="103" t="n">
        <f aca="false">C77*E77*F77*G77</f>
        <v>1000</v>
      </c>
      <c r="I77" s="129"/>
      <c r="L77" s="72"/>
      <c r="M77" s="72"/>
      <c r="N77" s="72"/>
    </row>
    <row r="78" customFormat="false" ht="24.25" hidden="false" customHeight="false" outlineLevel="0" collapsed="false">
      <c r="A78" s="79" t="n">
        <v>6</v>
      </c>
      <c r="B78" s="82" t="s">
        <v>180</v>
      </c>
      <c r="C78" s="87" t="n">
        <v>1</v>
      </c>
      <c r="D78" s="79" t="s">
        <v>171</v>
      </c>
      <c r="E78" s="87" t="n">
        <v>5000</v>
      </c>
      <c r="F78" s="87" t="n">
        <v>1</v>
      </c>
      <c r="G78" s="87" t="n">
        <v>1</v>
      </c>
      <c r="H78" s="103" t="n">
        <f aca="false">C78*E78*F78*G78</f>
        <v>5000</v>
      </c>
      <c r="I78" s="129"/>
      <c r="L78" s="72"/>
      <c r="M78" s="72"/>
      <c r="N78" s="72"/>
    </row>
    <row r="79" customFormat="false" ht="13.05" hidden="false" customHeight="false" outlineLevel="0" collapsed="false">
      <c r="A79" s="79" t="n">
        <v>7</v>
      </c>
      <c r="B79" s="80" t="s">
        <v>181</v>
      </c>
      <c r="C79" s="87"/>
      <c r="D79" s="87"/>
      <c r="E79" s="87"/>
      <c r="F79" s="87" t="n">
        <v>1</v>
      </c>
      <c r="G79" s="87" t="n">
        <v>1</v>
      </c>
      <c r="H79" s="103" t="n">
        <f aca="false">SUM(C79+D79+E79)*F79*G79</f>
        <v>0</v>
      </c>
      <c r="I79" s="129"/>
      <c r="J79" s="105"/>
      <c r="K79" s="105"/>
      <c r="L79" s="89"/>
      <c r="M79" s="89"/>
      <c r="N79" s="72"/>
    </row>
    <row r="80" customFormat="false" ht="13.05" hidden="false" customHeight="false" outlineLevel="0" collapsed="false">
      <c r="A80" s="79" t="n">
        <v>8</v>
      </c>
      <c r="B80" s="80" t="s">
        <v>182</v>
      </c>
      <c r="C80" s="87"/>
      <c r="D80" s="87"/>
      <c r="E80" s="87"/>
      <c r="F80" s="87" t="n">
        <v>1</v>
      </c>
      <c r="G80" s="80"/>
      <c r="H80" s="129"/>
      <c r="I80" s="103" t="n">
        <f aca="false">SUM(C80+D80+E80)*F80</f>
        <v>0</v>
      </c>
      <c r="J80" s="105"/>
      <c r="K80" s="105"/>
      <c r="L80" s="89"/>
      <c r="M80" s="89"/>
      <c r="N80" s="72"/>
    </row>
    <row r="81" customFormat="false" ht="13.05" hidden="false" customHeight="true" outlineLevel="0" collapsed="false">
      <c r="A81" s="112" t="s">
        <v>183</v>
      </c>
      <c r="B81" s="127" t="s">
        <v>184</v>
      </c>
      <c r="C81" s="127"/>
      <c r="D81" s="127"/>
      <c r="E81" s="127"/>
      <c r="F81" s="127"/>
      <c r="G81" s="127"/>
      <c r="H81" s="114" t="n">
        <f aca="false">SUM(H73:H80)</f>
        <v>6000</v>
      </c>
      <c r="I81" s="114" t="n">
        <f aca="false">SUM(I73:I80)</f>
        <v>0</v>
      </c>
      <c r="L81" s="72"/>
      <c r="M81" s="72"/>
      <c r="N81" s="72"/>
    </row>
    <row r="82" s="117" customFormat="true" ht="12.8" hidden="false" customHeight="false" outlineLevel="0" collapsed="false"/>
    <row r="83" customFormat="false" ht="13.05" hidden="false" customHeight="true" outlineLevel="0" collapsed="false">
      <c r="A83" s="101" t="s">
        <v>185</v>
      </c>
      <c r="B83" s="88"/>
      <c r="C83" s="105"/>
      <c r="D83" s="105"/>
      <c r="E83" s="105"/>
      <c r="F83" s="88"/>
      <c r="G83" s="88"/>
      <c r="H83" s="118" t="s">
        <v>97</v>
      </c>
      <c r="I83" s="118"/>
      <c r="J83" s="118" t="s">
        <v>107</v>
      </c>
      <c r="K83" s="118"/>
      <c r="L83" s="72"/>
      <c r="M83" s="72"/>
      <c r="N83" s="72"/>
    </row>
    <row r="84" customFormat="false" ht="13.05" hidden="false" customHeight="false" outlineLevel="0" collapsed="false">
      <c r="A84" s="89"/>
      <c r="B84" s="79" t="s">
        <v>186</v>
      </c>
      <c r="C84" s="79" t="s">
        <v>187</v>
      </c>
      <c r="D84" s="79" t="s">
        <v>188</v>
      </c>
      <c r="E84" s="119"/>
      <c r="F84" s="130" t="s">
        <v>7</v>
      </c>
      <c r="G84" s="130" t="s">
        <v>7</v>
      </c>
      <c r="H84" s="79" t="s">
        <v>168</v>
      </c>
      <c r="I84" s="79" t="s">
        <v>169</v>
      </c>
      <c r="J84" s="79" t="s">
        <v>168</v>
      </c>
      <c r="K84" s="79" t="s">
        <v>169</v>
      </c>
      <c r="L84" s="72"/>
      <c r="M84" s="72"/>
      <c r="N84" s="72"/>
    </row>
    <row r="85" customFormat="false" ht="12.8" hidden="false" customHeight="false" outlineLevel="0" collapsed="false">
      <c r="A85" s="79" t="n">
        <v>1</v>
      </c>
      <c r="B85" s="87" t="n">
        <f aca="false">8*7+3.7*7</f>
        <v>81.9</v>
      </c>
      <c r="C85" s="87" t="n">
        <v>4.6</v>
      </c>
      <c r="D85" s="87" t="n">
        <v>0</v>
      </c>
      <c r="E85" s="119" t="s">
        <v>189</v>
      </c>
      <c r="F85" s="87"/>
      <c r="G85" s="131" t="n">
        <f aca="false">F85 + D85*B85*C85</f>
        <v>0</v>
      </c>
      <c r="H85" s="103" t="n">
        <f aca="false">1230*(G85/3600)*($D$9-$E$9)</f>
        <v>0</v>
      </c>
      <c r="I85" s="103" t="n">
        <f aca="false">3010000*G85/3600*($D$11-$E$11)</f>
        <v>0</v>
      </c>
      <c r="J85" s="103" t="n">
        <f aca="false">1230*(G85/3600)*($D$15-$E$15)</f>
        <v>0</v>
      </c>
      <c r="K85" s="103" t="n">
        <f aca="false">3010000*G85/3600*($D$17-$E$17)</f>
        <v>0</v>
      </c>
      <c r="L85" s="72"/>
    </row>
    <row r="86" customFormat="false" ht="13.05" hidden="false" customHeight="true" outlineLevel="0" collapsed="false">
      <c r="A86" s="112" t="s">
        <v>190</v>
      </c>
      <c r="B86" s="127" t="s">
        <v>191</v>
      </c>
      <c r="C86" s="127"/>
      <c r="D86" s="127"/>
      <c r="E86" s="127"/>
      <c r="F86" s="127"/>
      <c r="G86" s="127"/>
      <c r="H86" s="114" t="n">
        <f aca="false">SUM(H85:H85)</f>
        <v>0</v>
      </c>
      <c r="I86" s="114" t="n">
        <f aca="false">SUM(I85:I85)</f>
        <v>0</v>
      </c>
      <c r="J86" s="114" t="n">
        <f aca="false">SUM(J85:J85)</f>
        <v>0</v>
      </c>
      <c r="K86" s="114" t="n">
        <f aca="false">SUM(K85:K85)</f>
        <v>0</v>
      </c>
      <c r="L86" s="72"/>
    </row>
    <row r="87" customFormat="false" ht="12.8" hidden="false" customHeight="false" outlineLevel="0" collapsed="false">
      <c r="A87" s="132"/>
      <c r="B87" s="115"/>
      <c r="C87" s="115"/>
      <c r="D87" s="115"/>
      <c r="E87" s="115"/>
      <c r="F87" s="133"/>
      <c r="G87" s="133"/>
      <c r="L87" s="72"/>
    </row>
    <row r="88" customFormat="false" ht="13.05" hidden="false" customHeight="true" outlineLevel="0" collapsed="false">
      <c r="A88" s="74" t="s">
        <v>192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2"/>
    </row>
    <row r="89" customFormat="false" ht="12.8" hidden="false" customHeight="false" outlineLevel="0" collapsed="false">
      <c r="A89" s="74"/>
      <c r="B89" s="74"/>
      <c r="C89" s="74"/>
      <c r="D89" s="74"/>
      <c r="E89" s="74"/>
      <c r="F89" s="74"/>
      <c r="G89" s="133"/>
      <c r="L89" s="72"/>
    </row>
    <row r="90" customFormat="false" ht="13.05" hidden="false" customHeight="false" outlineLevel="0" collapsed="false">
      <c r="A90" s="88"/>
      <c r="B90" s="72"/>
      <c r="C90" s="72"/>
      <c r="D90" s="72"/>
      <c r="E90" s="79" t="s">
        <v>97</v>
      </c>
      <c r="F90" s="79" t="s">
        <v>107</v>
      </c>
      <c r="G90" s="72"/>
      <c r="J90" s="79" t="s">
        <v>97</v>
      </c>
      <c r="K90" s="79" t="s">
        <v>107</v>
      </c>
      <c r="L90" s="72"/>
    </row>
    <row r="91" customFormat="false" ht="24.25" hidden="false" customHeight="true" outlineLevel="0" collapsed="false">
      <c r="A91" s="79" t="s">
        <v>193</v>
      </c>
      <c r="B91" s="118" t="s">
        <v>120</v>
      </c>
      <c r="C91" s="118"/>
      <c r="D91" s="118"/>
      <c r="E91" s="79" t="s">
        <v>194</v>
      </c>
      <c r="F91" s="79" t="s">
        <v>194</v>
      </c>
      <c r="G91" s="89"/>
      <c r="H91" s="134"/>
      <c r="I91" s="134"/>
      <c r="J91" s="79"/>
      <c r="K91" s="79"/>
      <c r="L91" s="135"/>
    </row>
    <row r="92" customFormat="false" ht="13.8" hidden="false" customHeight="true" outlineLevel="0" collapsed="false">
      <c r="A92" s="79" t="n">
        <v>1</v>
      </c>
      <c r="B92" s="124" t="s">
        <v>195</v>
      </c>
      <c r="C92" s="124"/>
      <c r="D92" s="124"/>
      <c r="E92" s="103" t="n">
        <f aca="false">I51</f>
        <v>10213.3764</v>
      </c>
      <c r="F92" s="103" t="n">
        <f aca="false">K51</f>
        <v>6111.2826</v>
      </c>
      <c r="G92" s="135"/>
      <c r="H92" s="136" t="s">
        <v>196</v>
      </c>
      <c r="I92" s="136"/>
      <c r="J92" s="137" t="n">
        <f aca="false">(E97/E102)</f>
        <v>0.979244963066827</v>
      </c>
      <c r="K92" s="137" t="n">
        <f aca="false">(F97/F102)</f>
        <v>0.972573289772613</v>
      </c>
      <c r="L92" s="72"/>
    </row>
    <row r="93" customFormat="false" ht="13.8" hidden="false" customHeight="true" outlineLevel="0" collapsed="false">
      <c r="A93" s="79" t="n">
        <v>2</v>
      </c>
      <c r="B93" s="124" t="s">
        <v>197</v>
      </c>
      <c r="C93" s="124"/>
      <c r="D93" s="124"/>
      <c r="E93" s="103" t="n">
        <f aca="false">H65</f>
        <v>0</v>
      </c>
      <c r="F93" s="103" t="n">
        <f aca="false">K65</f>
        <v>0</v>
      </c>
      <c r="G93" s="138"/>
      <c r="H93" s="136" t="s">
        <v>198</v>
      </c>
      <c r="I93" s="136"/>
      <c r="J93" s="139" t="n">
        <f aca="false">ROUND($E$107*3600/($B$85*$C$85),0)</f>
        <v>21</v>
      </c>
      <c r="K93" s="139" t="n">
        <f aca="false">ROUND($F$107*3600/($B$85*$C$85),0)</f>
        <v>20</v>
      </c>
      <c r="L93" s="72"/>
    </row>
    <row r="94" customFormat="false" ht="14.9" hidden="false" customHeight="true" outlineLevel="0" collapsed="false">
      <c r="A94" s="79" t="n">
        <v>3</v>
      </c>
      <c r="B94" s="124" t="s">
        <v>199</v>
      </c>
      <c r="C94" s="124"/>
      <c r="D94" s="124"/>
      <c r="E94" s="103" t="n">
        <f aca="false">G70</f>
        <v>300</v>
      </c>
      <c r="F94" s="103" t="n">
        <f aca="false">G70</f>
        <v>300</v>
      </c>
      <c r="G94" s="138"/>
      <c r="H94" s="136" t="s">
        <v>200</v>
      </c>
      <c r="I94" s="136"/>
      <c r="J94" s="139" t="e">
        <f aca="false">$E$9-($I$51+$H$65)/(SUMPRODUCT($G$28:$G$43, $F$28:$F$43) + $F$47*$G$47+ $F$49*$G$49)</f>
        <v>#DIV/0!</v>
      </c>
      <c r="K94" s="139" t="e">
        <f aca="false">$E$15-($K$51+$K$65)/(SUMPRODUCT($G$28:$G$43, $F$28:$F$43) + $F$47*$G$47+ $F$49*$G$49)</f>
        <v>#DIV/0!</v>
      </c>
      <c r="L94" s="72"/>
    </row>
    <row r="95" customFormat="false" ht="13.8" hidden="false" customHeight="true" outlineLevel="0" collapsed="false">
      <c r="A95" s="79" t="n">
        <v>4</v>
      </c>
      <c r="B95" s="124" t="s">
        <v>201</v>
      </c>
      <c r="C95" s="124"/>
      <c r="D95" s="124"/>
      <c r="E95" s="103" t="n">
        <f aca="false">H81</f>
        <v>6000</v>
      </c>
      <c r="F95" s="103" t="n">
        <f aca="false">H81</f>
        <v>6000</v>
      </c>
      <c r="G95" s="138"/>
      <c r="H95" s="136" t="s">
        <v>202</v>
      </c>
      <c r="I95" s="136"/>
      <c r="J95" s="140" t="n">
        <f aca="false">$M$54</f>
        <v>6</v>
      </c>
      <c r="K95" s="140" t="n">
        <f aca="false">$N$54</f>
        <v>6</v>
      </c>
      <c r="L95" s="72"/>
    </row>
    <row r="96" customFormat="false" ht="13.05" hidden="false" customHeight="true" outlineLevel="0" collapsed="false">
      <c r="A96" s="79" t="n">
        <v>5</v>
      </c>
      <c r="B96" s="124" t="s">
        <v>203</v>
      </c>
      <c r="C96" s="124"/>
      <c r="D96" s="124"/>
      <c r="E96" s="103" t="n">
        <f aca="false">H86</f>
        <v>0</v>
      </c>
      <c r="F96" s="103" t="n">
        <f aca="false">J86</f>
        <v>0</v>
      </c>
      <c r="L96" s="72"/>
    </row>
    <row r="97" customFormat="false" ht="13.05" hidden="false" customHeight="true" outlineLevel="0" collapsed="false">
      <c r="A97" s="141" t="s">
        <v>204</v>
      </c>
      <c r="B97" s="142" t="s">
        <v>205</v>
      </c>
      <c r="C97" s="142"/>
      <c r="D97" s="142"/>
      <c r="E97" s="143" t="n">
        <f aca="false">SUM(E92:E96)</f>
        <v>16513.3764</v>
      </c>
      <c r="F97" s="143" t="n">
        <f aca="false">SUM(F92:F96)</f>
        <v>12411.2826</v>
      </c>
      <c r="L97" s="72"/>
    </row>
    <row r="98" customFormat="false" ht="13.05" hidden="false" customHeight="true" outlineLevel="0" collapsed="false">
      <c r="A98" s="79" t="n">
        <v>1</v>
      </c>
      <c r="B98" s="124" t="s">
        <v>199</v>
      </c>
      <c r="C98" s="124"/>
      <c r="D98" s="124"/>
      <c r="E98" s="103" t="n">
        <f aca="false">H70</f>
        <v>350</v>
      </c>
      <c r="F98" s="103" t="n">
        <f aca="false">H70</f>
        <v>350</v>
      </c>
      <c r="L98" s="72"/>
    </row>
    <row r="99" customFormat="false" ht="13.05" hidden="false" customHeight="true" outlineLevel="0" collapsed="false">
      <c r="A99" s="79" t="n">
        <v>2</v>
      </c>
      <c r="B99" s="124" t="s">
        <v>206</v>
      </c>
      <c r="C99" s="124"/>
      <c r="D99" s="124"/>
      <c r="E99" s="103" t="n">
        <f aca="false">I81</f>
        <v>0</v>
      </c>
      <c r="F99" s="103" t="n">
        <f aca="false">I81</f>
        <v>0</v>
      </c>
      <c r="L99" s="72"/>
    </row>
    <row r="100" customFormat="false" ht="13.05" hidden="false" customHeight="true" outlineLevel="0" collapsed="false">
      <c r="A100" s="79" t="n">
        <v>3</v>
      </c>
      <c r="B100" s="124" t="s">
        <v>203</v>
      </c>
      <c r="C100" s="124"/>
      <c r="D100" s="124"/>
      <c r="E100" s="103" t="n">
        <f aca="false">I86</f>
        <v>0</v>
      </c>
      <c r="F100" s="103" t="n">
        <f aca="false">K86</f>
        <v>0</v>
      </c>
      <c r="L100" s="72"/>
    </row>
    <row r="101" customFormat="false" ht="13.05" hidden="false" customHeight="true" outlineLevel="0" collapsed="false">
      <c r="A101" s="141" t="s">
        <v>207</v>
      </c>
      <c r="B101" s="142" t="s">
        <v>208</v>
      </c>
      <c r="C101" s="142"/>
      <c r="D101" s="142"/>
      <c r="E101" s="143" t="n">
        <f aca="false">SUM(E98:E100)</f>
        <v>350</v>
      </c>
      <c r="F101" s="143" t="n">
        <f aca="false">SUM(F98:F100)</f>
        <v>350</v>
      </c>
      <c r="L101" s="72"/>
    </row>
    <row r="102" customFormat="false" ht="13.05" hidden="false" customHeight="true" outlineLevel="0" collapsed="false">
      <c r="A102" s="141" t="s">
        <v>209</v>
      </c>
      <c r="B102" s="142" t="s">
        <v>210</v>
      </c>
      <c r="C102" s="142"/>
      <c r="D102" s="142"/>
      <c r="E102" s="143" t="n">
        <f aca="false">E97+E101</f>
        <v>16863.3764</v>
      </c>
      <c r="F102" s="143" t="n">
        <f aca="false">F97+F101</f>
        <v>12761.2826</v>
      </c>
      <c r="L102" s="72"/>
    </row>
    <row r="103" s="147" customFormat="true" ht="12.8" hidden="false" customHeight="true" outlineLevel="0" collapsed="false">
      <c r="A103" s="79"/>
      <c r="B103" s="124" t="s">
        <v>211</v>
      </c>
      <c r="C103" s="124"/>
      <c r="D103" s="124"/>
      <c r="E103" s="144" t="n">
        <f aca="false">E115</f>
        <v>13.3714286204775</v>
      </c>
      <c r="F103" s="145" t="n">
        <v>14.7</v>
      </c>
      <c r="G103" s="70"/>
      <c r="H103" s="70"/>
      <c r="I103" s="70"/>
      <c r="J103" s="70"/>
      <c r="K103" s="70"/>
      <c r="L103" s="146"/>
    </row>
    <row r="104" customFormat="false" ht="13.05" hidden="false" customHeight="true" outlineLevel="0" collapsed="false">
      <c r="A104" s="79"/>
      <c r="B104" s="124" t="s">
        <v>212</v>
      </c>
      <c r="C104" s="124"/>
      <c r="D104" s="124"/>
      <c r="E104" s="148" t="n">
        <f aca="false">E97/(1230*($E$9-E103))</f>
        <v>1.55593651344814</v>
      </c>
      <c r="F104" s="148" t="n">
        <f aca="false">F97/(1230*($E$15-F103))</f>
        <v>1.38225666555296</v>
      </c>
      <c r="L104" s="72"/>
    </row>
    <row r="105" customFormat="false" ht="13.05" hidden="false" customHeight="true" outlineLevel="0" collapsed="false">
      <c r="A105" s="141" t="s">
        <v>213</v>
      </c>
      <c r="B105" s="142" t="s">
        <v>214</v>
      </c>
      <c r="C105" s="142"/>
      <c r="D105" s="142"/>
      <c r="E105" s="143" t="n">
        <f aca="false">1230*E104*1</f>
        <v>1913.80191154122</v>
      </c>
      <c r="F105" s="143" t="n">
        <f aca="false">1230*F104*1</f>
        <v>1700.17569863014</v>
      </c>
      <c r="G105" s="73"/>
      <c r="L105" s="72"/>
    </row>
    <row r="106" s="150" customFormat="true" ht="13.05" hidden="false" customHeight="true" outlineLevel="0" collapsed="false">
      <c r="A106" s="141" t="s">
        <v>215</v>
      </c>
      <c r="B106" s="142" t="s">
        <v>216</v>
      </c>
      <c r="C106" s="142"/>
      <c r="D106" s="142"/>
      <c r="E106" s="149" t="n">
        <f aca="false">E123*1000</f>
        <v>4570</v>
      </c>
      <c r="F106" s="149" t="n">
        <f aca="false">F123*1000</f>
        <v>4330</v>
      </c>
      <c r="G106" s="73"/>
      <c r="H106" s="70"/>
      <c r="I106" s="70"/>
      <c r="J106" s="70"/>
      <c r="K106" s="70"/>
      <c r="L106" s="73"/>
      <c r="AMJ106" s="71"/>
    </row>
    <row r="107" s="150" customFormat="true" ht="13.05" hidden="false" customHeight="true" outlineLevel="0" collapsed="false">
      <c r="A107" s="79"/>
      <c r="B107" s="82" t="s">
        <v>217</v>
      </c>
      <c r="C107" s="82"/>
      <c r="D107" s="82"/>
      <c r="E107" s="148" t="n">
        <f aca="false">(E97+E105+E106)/(1230*($E$9-E103))</f>
        <v>2.16685846518975</v>
      </c>
      <c r="F107" s="148" t="n">
        <f aca="false">(F97+F105+F106)/(1230*($E$15-F103))</f>
        <v>2.0538432229235</v>
      </c>
      <c r="G107" s="72"/>
      <c r="H107" s="70"/>
      <c r="I107" s="70"/>
      <c r="J107" s="70"/>
      <c r="K107" s="70"/>
      <c r="L107" s="73"/>
      <c r="AMJ107" s="71"/>
    </row>
    <row r="108" customFormat="false" ht="24.25" hidden="false" customHeight="true" outlineLevel="0" collapsed="false">
      <c r="A108" s="79"/>
      <c r="B108" s="124" t="s">
        <v>218</v>
      </c>
      <c r="C108" s="124"/>
      <c r="D108" s="124"/>
      <c r="E108" s="151" t="n">
        <f aca="false">$E$11-E101/(3010000*E107)</f>
        <v>0.00916284383159017</v>
      </c>
      <c r="F108" s="151" t="n">
        <f aca="false">$E$17-F101/(3010000*F107)</f>
        <v>0.00981821286774871</v>
      </c>
      <c r="L108" s="72"/>
    </row>
    <row r="109" customFormat="false" ht="12.8" hidden="false" customHeight="true" outlineLevel="0" collapsed="false">
      <c r="A109" s="79"/>
      <c r="B109" s="124" t="s">
        <v>219</v>
      </c>
      <c r="C109" s="124"/>
      <c r="D109" s="124"/>
      <c r="E109" s="152" t="n">
        <v>1</v>
      </c>
      <c r="F109" s="152" t="n">
        <v>1</v>
      </c>
      <c r="L109" s="72"/>
    </row>
    <row r="110" customFormat="false" ht="12.8" hidden="false" customHeight="true" outlineLevel="0" collapsed="false">
      <c r="A110" s="79"/>
      <c r="B110" s="124" t="s">
        <v>220</v>
      </c>
      <c r="C110" s="124"/>
      <c r="D110" s="124"/>
      <c r="E110" s="152" t="n">
        <v>0.05</v>
      </c>
      <c r="F110" s="152" t="n">
        <v>0.05</v>
      </c>
      <c r="L110" s="72"/>
    </row>
    <row r="111" customFormat="false" ht="13.05" hidden="false" customHeight="true" outlineLevel="0" collapsed="false">
      <c r="A111" s="79"/>
      <c r="B111" s="124" t="s">
        <v>221</v>
      </c>
      <c r="C111" s="124"/>
      <c r="D111" s="124"/>
      <c r="E111" s="153" t="n">
        <f aca="false">E109*($D$9-$E$9)+$E$9</f>
        <v>37.2</v>
      </c>
      <c r="F111" s="153" t="n">
        <f aca="false">F109*($D$15-$E$15)+$E$15</f>
        <v>32.3</v>
      </c>
      <c r="L111" s="72"/>
    </row>
    <row r="112" customFormat="false" ht="13.05" hidden="false" customHeight="true" outlineLevel="0" collapsed="false">
      <c r="A112" s="79"/>
      <c r="B112" s="124" t="s">
        <v>222</v>
      </c>
      <c r="C112" s="124"/>
      <c r="D112" s="124"/>
      <c r="E112" s="151" t="n">
        <f aca="false">E109*($D$11-$E$11)+$E$11</f>
        <v>0.016834758778653</v>
      </c>
      <c r="F112" s="151" t="n">
        <f aca="false">F109*($D$17-$E$17)+$E$17</f>
        <v>0.0221812811253068</v>
      </c>
      <c r="L112" s="72"/>
    </row>
    <row r="113" customFormat="false" ht="14.9" hidden="false" customHeight="true" outlineLevel="0" collapsed="false">
      <c r="A113" s="79"/>
      <c r="B113" s="124" t="s">
        <v>223</v>
      </c>
      <c r="C113" s="124"/>
      <c r="D113" s="124"/>
      <c r="E113" s="151" t="n">
        <f aca="false">(E108-E110*E112)/(1-E110)</f>
        <v>0.00875905883437634</v>
      </c>
      <c r="F113" s="151" t="n">
        <f aca="false">(F108-F110*F112)/(1-F110)</f>
        <v>0.00916752506471934</v>
      </c>
      <c r="L113" s="72"/>
    </row>
    <row r="114" s="147" customFormat="true" ht="14.9" hidden="false" customHeight="true" outlineLevel="0" collapsed="false">
      <c r="A114" s="154"/>
      <c r="B114" s="155" t="s">
        <v>224</v>
      </c>
      <c r="C114" s="155"/>
      <c r="D114" s="155"/>
      <c r="E114" s="156" t="n">
        <f aca="false">1730.63/(8.07131-LOG10(E113*101325/(0.62198+E108)*0.00750062))-233.426</f>
        <v>12.1172932847132</v>
      </c>
      <c r="F114" s="156" t="n">
        <f aca="false">1730.63/(8.07131-LOG10(F113*101325/(0.62198+F108)*0.00750062))-233.426</f>
        <v>12.793049815554</v>
      </c>
      <c r="L114" s="146"/>
    </row>
    <row r="115" customFormat="false" ht="13.05" hidden="false" customHeight="true" outlineLevel="0" collapsed="false">
      <c r="A115" s="79"/>
      <c r="B115" s="124" t="s">
        <v>225</v>
      </c>
      <c r="C115" s="124"/>
      <c r="D115" s="124"/>
      <c r="E115" s="153" t="n">
        <f aca="false">E114+E110*(E111-E114)</f>
        <v>13.3714286204775</v>
      </c>
      <c r="F115" s="153" t="n">
        <f aca="false">F114+F110*(F111-F114)</f>
        <v>13.7683973247763</v>
      </c>
      <c r="L115" s="72"/>
    </row>
    <row r="116" customFormat="false" ht="13.8" hidden="false" customHeight="true" outlineLevel="0" collapsed="false">
      <c r="A116" s="141" t="s">
        <v>226</v>
      </c>
      <c r="B116" s="157" t="s">
        <v>227</v>
      </c>
      <c r="C116" s="157"/>
      <c r="D116" s="157"/>
      <c r="E116" s="143" t="n">
        <f aca="false">1230*E107*(E111-E115)</f>
        <v>63508.7641767289</v>
      </c>
      <c r="F116" s="143" t="n">
        <f aca="false">1230*F107*(F111-F115)</f>
        <v>46815.0380742358</v>
      </c>
      <c r="G116" s="135"/>
      <c r="H116" s="135"/>
      <c r="I116" s="135"/>
      <c r="J116" s="135"/>
      <c r="K116" s="135"/>
      <c r="L116" s="72"/>
    </row>
    <row r="117" s="150" customFormat="true" ht="13.05" hidden="false" customHeight="true" outlineLevel="0" collapsed="false">
      <c r="A117" s="141" t="s">
        <v>228</v>
      </c>
      <c r="B117" s="157" t="s">
        <v>229</v>
      </c>
      <c r="C117" s="157"/>
      <c r="D117" s="157"/>
      <c r="E117" s="143" t="n">
        <f aca="false">3010000*E107*(E112-E108)</f>
        <v>50038.1010802494</v>
      </c>
      <c r="F117" s="143" t="n">
        <f aca="false">3010000*F107*(F112-F108)</f>
        <v>76429.3299055326</v>
      </c>
      <c r="G117" s="74" t="s">
        <v>230</v>
      </c>
      <c r="H117" s="74"/>
      <c r="I117" s="74"/>
      <c r="J117" s="74"/>
      <c r="K117" s="74"/>
      <c r="AMJ117" s="71"/>
    </row>
    <row r="118" s="150" customFormat="true" ht="13.05" hidden="false" customHeight="true" outlineLevel="0" collapsed="false">
      <c r="A118" s="141" t="s">
        <v>231</v>
      </c>
      <c r="B118" s="157" t="s">
        <v>232</v>
      </c>
      <c r="C118" s="157"/>
      <c r="D118" s="157"/>
      <c r="E118" s="143" t="n">
        <f aca="false">E116+E117</f>
        <v>113546.865256978</v>
      </c>
      <c r="F118" s="143" t="n">
        <f aca="false">F116+F117</f>
        <v>123244.367979768</v>
      </c>
      <c r="G118" s="70"/>
      <c r="H118" s="105"/>
      <c r="I118" s="70"/>
      <c r="J118" s="70"/>
      <c r="K118" s="70"/>
      <c r="AMJ118" s="71"/>
    </row>
    <row r="119" s="150" customFormat="true" ht="12.8" hidden="false" customHeight="true" outlineLevel="0" collapsed="false">
      <c r="A119" s="141"/>
      <c r="B119" s="157" t="s">
        <v>233</v>
      </c>
      <c r="C119" s="157"/>
      <c r="D119" s="157"/>
      <c r="E119" s="158" t="n">
        <f aca="false">E118/3517</f>
        <v>32.2851479263515</v>
      </c>
      <c r="F119" s="158" t="n">
        <f aca="false">F118/3517</f>
        <v>35.042470281424</v>
      </c>
      <c r="G119" s="159" t="s">
        <v>204</v>
      </c>
      <c r="H119" s="160" t="s">
        <v>234</v>
      </c>
      <c r="I119" s="160"/>
      <c r="J119" s="161" t="n">
        <f aca="false">MAX(E119:F119)*1.1</f>
        <v>38.5467173095664</v>
      </c>
      <c r="K119" s="150" t="s">
        <v>17</v>
      </c>
      <c r="AMJ119" s="71"/>
    </row>
    <row r="120" customFormat="false" ht="12.8" hidden="false" customHeight="true" outlineLevel="0" collapsed="false">
      <c r="A120" s="162" t="s">
        <v>235</v>
      </c>
      <c r="B120" s="163" t="s">
        <v>236</v>
      </c>
      <c r="C120" s="163"/>
      <c r="D120" s="163"/>
      <c r="E120" s="164" t="n">
        <f aca="false">1230*E107*(E103-E115)/1000</f>
        <v>0</v>
      </c>
      <c r="F120" s="164" t="n">
        <f aca="false">1230*F107*(F103-F115)/1000</f>
        <v>2.35343998438779</v>
      </c>
      <c r="G120" s="159" t="s">
        <v>207</v>
      </c>
      <c r="H120" s="160" t="s">
        <v>237</v>
      </c>
      <c r="I120" s="160"/>
      <c r="J120" s="165" t="n">
        <f aca="false">MAX(E121:F121)*1.1</f>
        <v>8580.75952215143</v>
      </c>
      <c r="K120" s="150" t="s">
        <v>7</v>
      </c>
      <c r="L120" s="72"/>
    </row>
    <row r="121" customFormat="false" ht="24.25" hidden="false" customHeight="true" outlineLevel="0" collapsed="false">
      <c r="A121" s="141" t="s">
        <v>238</v>
      </c>
      <c r="B121" s="157" t="s">
        <v>239</v>
      </c>
      <c r="C121" s="157"/>
      <c r="D121" s="157"/>
      <c r="E121" s="143" t="n">
        <f aca="false">E107*3600</f>
        <v>7800.69047468312</v>
      </c>
      <c r="F121" s="143" t="n">
        <f aca="false">F107*3600</f>
        <v>7393.83560252461</v>
      </c>
      <c r="G121" s="74"/>
      <c r="H121" s="166" t="s">
        <v>240</v>
      </c>
      <c r="I121" s="166"/>
      <c r="J121" s="167"/>
      <c r="K121" s="74"/>
    </row>
    <row r="122" customFormat="false" ht="12.8" hidden="false" customHeight="true" outlineLevel="0" collapsed="false">
      <c r="A122" s="79"/>
      <c r="B122" s="82" t="s">
        <v>241</v>
      </c>
      <c r="C122" s="82"/>
      <c r="D122" s="82"/>
      <c r="E122" s="168" t="n">
        <v>1400</v>
      </c>
      <c r="F122" s="168" t="n">
        <v>1400</v>
      </c>
      <c r="H122" s="169" t="s">
        <v>242</v>
      </c>
      <c r="I122" s="169"/>
      <c r="J122" s="170" t="n">
        <f aca="false">ROUND((J120/1.7)/J119,0)</f>
        <v>131</v>
      </c>
    </row>
    <row r="123" customFormat="false" ht="13.05" hidden="false" customHeight="true" outlineLevel="0" collapsed="false">
      <c r="A123" s="79"/>
      <c r="B123" s="82" t="s">
        <v>243</v>
      </c>
      <c r="C123" s="82"/>
      <c r="D123" s="82"/>
      <c r="E123" s="148" t="n">
        <f aca="false">ROUNDUP(E107*E122/(0.7*0.95)/1000,2)</f>
        <v>4.57</v>
      </c>
      <c r="F123" s="148" t="n">
        <f aca="false">ROUNDUP(F107*F122/(0.7*0.95)/1000,2)</f>
        <v>4.33</v>
      </c>
      <c r="H123" s="169" t="s">
        <v>244</v>
      </c>
      <c r="I123" s="169"/>
      <c r="J123" s="170" t="n">
        <f aca="false">ROUND(B85/J119,1)</f>
        <v>2.1</v>
      </c>
    </row>
    <row r="124" customFormat="false" ht="13.8" hidden="false" customHeight="false" outlineLevel="0" collapsed="false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</row>
    <row r="125" s="70" customFormat="true" ht="13.8" hidden="false" customHeight="false" outlineLevel="0" collapsed="false">
      <c r="G125" s="135"/>
      <c r="H125" s="135"/>
      <c r="I125" s="135"/>
      <c r="J125" s="135"/>
      <c r="K125" s="135"/>
      <c r="AMJ125" s="71"/>
    </row>
    <row r="126" s="70" customFormat="true" ht="13.8" hidden="false" customHeight="false" outlineLevel="0" collapsed="false">
      <c r="G126" s="135"/>
      <c r="H126" s="135"/>
      <c r="I126" s="135"/>
      <c r="J126" s="135"/>
      <c r="K126" s="135"/>
      <c r="AMJ126" s="71"/>
    </row>
    <row r="127" s="70" customFormat="true" ht="12.8" hidden="false" customHeight="false" outlineLevel="0" collapsed="false">
      <c r="AMJ127" s="71"/>
    </row>
    <row r="128" s="70" customFormat="true" ht="12.8" hidden="false" customHeight="false" outlineLevel="0" collapsed="false">
      <c r="AMJ128" s="71"/>
    </row>
  </sheetData>
  <mergeCells count="108">
    <mergeCell ref="A2:K2"/>
    <mergeCell ref="B4:G4"/>
    <mergeCell ref="B5:G5"/>
    <mergeCell ref="E6:G6"/>
    <mergeCell ref="A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F53:H53"/>
    <mergeCell ref="I53:K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0:F70"/>
    <mergeCell ref="A72:E72"/>
    <mergeCell ref="B81:G81"/>
    <mergeCell ref="H83:I83"/>
    <mergeCell ref="J83:K83"/>
    <mergeCell ref="B86:G86"/>
    <mergeCell ref="A88:K88"/>
    <mergeCell ref="B91:D91"/>
    <mergeCell ref="H91:I91"/>
    <mergeCell ref="B92:D92"/>
    <mergeCell ref="H92:I92"/>
    <mergeCell ref="B93:D93"/>
    <mergeCell ref="H93:I93"/>
    <mergeCell ref="B94:D94"/>
    <mergeCell ref="H94:I94"/>
    <mergeCell ref="B95:D95"/>
    <mergeCell ref="H95:I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G117:K117"/>
    <mergeCell ref="B118:D118"/>
    <mergeCell ref="B119:D119"/>
    <mergeCell ref="H119:I119"/>
    <mergeCell ref="B120:D120"/>
    <mergeCell ref="H120:I120"/>
    <mergeCell ref="B121:D121"/>
    <mergeCell ref="H121:I121"/>
    <mergeCell ref="B122:D122"/>
    <mergeCell ref="H122:I122"/>
    <mergeCell ref="B123:D123"/>
    <mergeCell ref="H123:I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1" man="true" max="16383" min="0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115" zoomScalePageLayoutView="130" workbookViewId="0">
      <selection pane="topLeft" activeCell="B6" activeCellId="0" sqref="B6"/>
    </sheetView>
  </sheetViews>
  <sheetFormatPr defaultColWidth="9.13671875" defaultRowHeight="12.8" zeroHeight="false" outlineLevelRow="0" outlineLevelCol="0"/>
  <cols>
    <col collapsed="false" customWidth="true" hidden="false" outlineLevel="0" max="1" min="1" style="69" width="11.64"/>
    <col collapsed="false" customWidth="true" hidden="false" outlineLevel="0" max="2" min="2" style="69" width="15.8"/>
    <col collapsed="false" customWidth="true" hidden="false" outlineLevel="0" max="3" min="3" style="69" width="9.83"/>
    <col collapsed="false" customWidth="true" hidden="false" outlineLevel="0" max="4" min="4" style="69" width="9.24"/>
    <col collapsed="false" customWidth="true" hidden="false" outlineLevel="0" max="5" min="5" style="70" width="9.51"/>
    <col collapsed="false" customWidth="true" hidden="false" outlineLevel="0" max="6" min="6" style="70" width="8.14"/>
    <col collapsed="false" customWidth="true" hidden="false" outlineLevel="0" max="7" min="7" style="70" width="8.79"/>
    <col collapsed="false" customWidth="true" hidden="false" outlineLevel="0" max="8" min="8" style="70" width="13.55"/>
    <col collapsed="false" customWidth="true" hidden="false" outlineLevel="0" max="9" min="9" style="70" width="8.55"/>
    <col collapsed="false" customWidth="true" hidden="false" outlineLevel="0" max="10" min="10" style="70" width="10.25"/>
    <col collapsed="false" customWidth="false" hidden="false" outlineLevel="0" max="12" min="11" style="70" width="9.13"/>
    <col collapsed="false" customWidth="true" hidden="false" outlineLevel="0" max="13" min="13" style="70" width="11.94"/>
    <col collapsed="false" customWidth="false" hidden="false" outlineLevel="0" max="1023" min="14" style="70" width="9.13"/>
    <col collapsed="false" customWidth="false" hidden="false" outlineLevel="0" max="1024" min="1024" style="71" width="9.13"/>
  </cols>
  <sheetData>
    <row r="1" customFormat="false" ht="12.8" hidden="false" customHeight="false" outlineLevel="0" collapsed="false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3.05" hidden="false" customHeight="true" outlineLevel="0" collapsed="false">
      <c r="A2" s="74" t="s">
        <v>86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customFormat="false" ht="12.8" hidden="false" customHeight="false" outlineLevel="0" collapsed="false">
      <c r="A3" s="72"/>
      <c r="B3" s="72"/>
      <c r="C3" s="72"/>
      <c r="D3" s="72"/>
      <c r="E3" s="72"/>
      <c r="F3" s="72"/>
      <c r="G3" s="76"/>
      <c r="H3" s="72"/>
      <c r="I3" s="72"/>
      <c r="J3" s="72"/>
      <c r="K3" s="72"/>
    </row>
    <row r="4" customFormat="false" ht="13.05" hidden="false" customHeight="false" outlineLevel="0" collapsed="false">
      <c r="A4" s="77" t="s">
        <v>87</v>
      </c>
      <c r="B4" s="77"/>
      <c r="C4" s="77"/>
      <c r="D4" s="77"/>
      <c r="E4" s="77"/>
      <c r="F4" s="77"/>
      <c r="G4" s="77"/>
      <c r="H4" s="78" t="s">
        <v>88</v>
      </c>
      <c r="I4" s="79"/>
      <c r="J4" s="80" t="s">
        <v>89</v>
      </c>
      <c r="K4" s="81"/>
    </row>
    <row r="5" customFormat="false" ht="12.8" hidden="false" customHeight="true" outlineLevel="0" collapsed="false">
      <c r="A5" s="82" t="s">
        <v>90</v>
      </c>
      <c r="B5" s="83" t="s">
        <v>246</v>
      </c>
      <c r="C5" s="83"/>
      <c r="D5" s="83"/>
      <c r="E5" s="83"/>
      <c r="F5" s="83"/>
      <c r="G5" s="83"/>
      <c r="H5" s="84" t="s">
        <v>92</v>
      </c>
      <c r="I5" s="79"/>
      <c r="J5" s="80" t="s">
        <v>89</v>
      </c>
      <c r="K5" s="85"/>
      <c r="L5" s="86"/>
    </row>
    <row r="6" customFormat="false" ht="13.05" hidden="false" customHeight="false" outlineLevel="0" collapsed="false">
      <c r="A6" s="80" t="s">
        <v>93</v>
      </c>
      <c r="B6" s="87" t="n">
        <v>1</v>
      </c>
      <c r="C6" s="79" t="s">
        <v>94</v>
      </c>
      <c r="D6" s="87" t="n">
        <v>1</v>
      </c>
      <c r="E6" s="80"/>
      <c r="F6" s="80"/>
      <c r="G6" s="80"/>
      <c r="H6" s="84" t="s">
        <v>95</v>
      </c>
      <c r="I6" s="79"/>
      <c r="J6" s="80" t="s">
        <v>89</v>
      </c>
      <c r="K6" s="81"/>
      <c r="L6" s="72"/>
    </row>
    <row r="7" customFormat="false" ht="13.05" hidden="false" customHeight="true" outlineLevel="0" collapsed="false">
      <c r="A7" s="88" t="s">
        <v>96</v>
      </c>
      <c r="B7" s="88"/>
      <c r="C7" s="88"/>
      <c r="D7" s="88"/>
      <c r="E7" s="88"/>
      <c r="F7" s="72"/>
      <c r="G7" s="72"/>
      <c r="H7" s="72"/>
      <c r="I7" s="89"/>
      <c r="J7" s="72"/>
      <c r="K7" s="90"/>
      <c r="L7" s="72"/>
    </row>
    <row r="8" customFormat="false" ht="13.05" hidden="false" customHeight="true" outlineLevel="0" collapsed="false">
      <c r="A8" s="91" t="s">
        <v>97</v>
      </c>
      <c r="B8" s="91"/>
      <c r="C8" s="80"/>
      <c r="D8" s="92" t="s">
        <v>98</v>
      </c>
      <c r="E8" s="92" t="s">
        <v>99</v>
      </c>
      <c r="F8" s="92" t="s">
        <v>100</v>
      </c>
      <c r="G8" s="72"/>
      <c r="H8" s="93" t="s">
        <v>101</v>
      </c>
      <c r="I8" s="89"/>
      <c r="J8" s="72"/>
      <c r="K8" s="90"/>
      <c r="L8" s="72"/>
    </row>
    <row r="9" customFormat="false" ht="12.8" hidden="false" customHeight="true" outlineLevel="0" collapsed="false">
      <c r="A9" s="82" t="s">
        <v>102</v>
      </c>
      <c r="B9" s="82"/>
      <c r="C9" s="80"/>
      <c r="D9" s="94" t="n">
        <v>37.2</v>
      </c>
      <c r="E9" s="87" t="n">
        <v>24</v>
      </c>
      <c r="F9" s="80"/>
      <c r="G9" s="72"/>
      <c r="H9" s="95" t="s">
        <v>103</v>
      </c>
      <c r="I9" s="89"/>
      <c r="J9" s="72"/>
      <c r="K9" s="90"/>
      <c r="L9" s="72"/>
    </row>
    <row r="10" customFormat="false" ht="12.8" hidden="false" customHeight="true" outlineLevel="0" collapsed="false">
      <c r="A10" s="82" t="s">
        <v>104</v>
      </c>
      <c r="B10" s="82"/>
      <c r="C10" s="80"/>
      <c r="D10" s="94" t="n">
        <v>41</v>
      </c>
      <c r="E10" s="87" t="n">
        <v>50</v>
      </c>
      <c r="F10" s="80"/>
      <c r="G10" s="72"/>
      <c r="H10" s="96"/>
      <c r="I10" s="89"/>
      <c r="J10" s="72"/>
      <c r="K10" s="90"/>
      <c r="L10" s="72"/>
    </row>
    <row r="11" customFormat="false" ht="13.05" hidden="false" customHeight="true" outlineLevel="0" collapsed="false">
      <c r="A11" s="82" t="s">
        <v>105</v>
      </c>
      <c r="B11" s="82"/>
      <c r="C11" s="80"/>
      <c r="D11" s="97" t="n">
        <f aca="false">0.62198/(101325/(EXP(77.345+0.0057*(273+D9)- 7235/(273+D9))/(273+D9)^8.2)-1)*D10/100</f>
        <v>0.016834758778653</v>
      </c>
      <c r="E11" s="97" t="n">
        <f aca="false">0.62198/(101325/(EXP(77.345+0.0057*(273+E9)- 7235/(273+E9))/(273+E9)^8.2)-1)*E10/100</f>
        <v>0.00932062683943392</v>
      </c>
      <c r="F11" s="80"/>
      <c r="G11" s="72"/>
      <c r="H11" s="72"/>
      <c r="I11" s="89"/>
      <c r="J11" s="72"/>
      <c r="K11" s="90"/>
      <c r="L11" s="72"/>
    </row>
    <row r="12" customFormat="false" ht="13.05" hidden="false" customHeight="true" outlineLevel="0" collapsed="false">
      <c r="A12" s="82" t="s">
        <v>106</v>
      </c>
      <c r="B12" s="82"/>
      <c r="C12" s="80"/>
      <c r="D12" s="79"/>
      <c r="E12" s="79"/>
      <c r="F12" s="87" t="n">
        <v>10.5</v>
      </c>
      <c r="G12" s="72"/>
      <c r="H12" s="72"/>
      <c r="I12" s="89"/>
      <c r="J12" s="72"/>
      <c r="K12" s="90"/>
      <c r="L12" s="72"/>
    </row>
    <row r="13" customFormat="false" ht="12.8" hidden="false" customHeight="false" outlineLevel="0" collapsed="false">
      <c r="A13" s="82"/>
      <c r="B13" s="82"/>
      <c r="C13" s="80"/>
      <c r="D13" s="79"/>
      <c r="E13" s="79"/>
      <c r="F13" s="79"/>
      <c r="G13" s="72"/>
      <c r="H13" s="72"/>
      <c r="I13" s="89"/>
      <c r="J13" s="72"/>
      <c r="K13" s="90"/>
      <c r="L13" s="72"/>
    </row>
    <row r="14" customFormat="false" ht="13.05" hidden="false" customHeight="true" outlineLevel="0" collapsed="false">
      <c r="A14" s="91" t="s">
        <v>107</v>
      </c>
      <c r="B14" s="91"/>
      <c r="C14" s="80"/>
      <c r="D14" s="98"/>
      <c r="E14" s="98"/>
      <c r="F14" s="80"/>
      <c r="G14" s="72"/>
      <c r="H14" s="72"/>
      <c r="I14" s="89"/>
      <c r="J14" s="72"/>
      <c r="K14" s="90"/>
      <c r="L14" s="72"/>
    </row>
    <row r="15" customFormat="false" ht="12.8" hidden="false" customHeight="true" outlineLevel="0" collapsed="false">
      <c r="A15" s="82" t="s">
        <v>102</v>
      </c>
      <c r="B15" s="82"/>
      <c r="C15" s="80"/>
      <c r="D15" s="94" t="n">
        <v>32.3</v>
      </c>
      <c r="E15" s="87" t="n">
        <v>24</v>
      </c>
      <c r="F15" s="80"/>
      <c r="G15" s="72"/>
      <c r="H15" s="72"/>
      <c r="I15" s="89"/>
      <c r="J15" s="72"/>
      <c r="K15" s="90"/>
      <c r="L15" s="72"/>
    </row>
    <row r="16" customFormat="false" ht="12.8" hidden="false" customHeight="true" outlineLevel="0" collapsed="false">
      <c r="A16" s="82" t="s">
        <v>104</v>
      </c>
      <c r="B16" s="82"/>
      <c r="C16" s="80"/>
      <c r="D16" s="94" t="n">
        <v>72</v>
      </c>
      <c r="E16" s="87" t="n">
        <v>51</v>
      </c>
      <c r="F16" s="80"/>
      <c r="G16" s="72"/>
      <c r="H16" s="72"/>
      <c r="I16" s="89"/>
      <c r="J16" s="72"/>
      <c r="K16" s="90"/>
      <c r="L16" s="72"/>
    </row>
    <row r="17" customFormat="false" ht="13.05" hidden="false" customHeight="true" outlineLevel="0" collapsed="false">
      <c r="A17" s="82" t="s">
        <v>105</v>
      </c>
      <c r="B17" s="82"/>
      <c r="C17" s="80"/>
      <c r="D17" s="97" t="n">
        <f aca="false">0.62198/(101325/(EXP(77.345+0.0057*(273+D15)- 7235/(273+D15))/(273+D15)^8.2)-1)*D16/100</f>
        <v>0.0221812811253068</v>
      </c>
      <c r="E17" s="97" t="n">
        <f aca="false">0.62198/(101325/(EXP(77.345+0.0057*(273+E15)- 7235/(273+E15))/(273+E15)^8.2)-1)*E16/100</f>
        <v>0.0095070393762226</v>
      </c>
      <c r="F17" s="80"/>
      <c r="G17" s="72"/>
      <c r="H17" s="72"/>
      <c r="I17" s="89"/>
      <c r="J17" s="72"/>
      <c r="K17" s="90"/>
      <c r="L17" s="72"/>
    </row>
    <row r="18" customFormat="false" ht="13.05" hidden="false" customHeight="true" outlineLevel="0" collapsed="false">
      <c r="A18" s="82" t="s">
        <v>106</v>
      </c>
      <c r="B18" s="82"/>
      <c r="C18" s="80"/>
      <c r="D18" s="79"/>
      <c r="E18" s="79"/>
      <c r="F18" s="87" t="n">
        <v>10.5</v>
      </c>
      <c r="G18" s="72"/>
      <c r="H18" s="72"/>
      <c r="I18" s="89"/>
      <c r="J18" s="72"/>
      <c r="K18" s="90"/>
      <c r="L18" s="72"/>
    </row>
    <row r="19" customFormat="false" ht="12.8" hidden="false" customHeight="false" outlineLevel="0" collapsed="false">
      <c r="A19" s="82"/>
      <c r="B19" s="82"/>
      <c r="C19" s="80"/>
      <c r="D19" s="80"/>
      <c r="E19" s="80"/>
      <c r="F19" s="80"/>
      <c r="G19" s="72"/>
      <c r="H19" s="72"/>
      <c r="I19" s="89"/>
      <c r="J19" s="72"/>
      <c r="K19" s="90"/>
      <c r="L19" s="72"/>
    </row>
    <row r="20" customFormat="false" ht="13.05" hidden="false" customHeight="false" outlineLevel="0" collapsed="false">
      <c r="A20" s="80" t="s">
        <v>108</v>
      </c>
      <c r="B20" s="80"/>
      <c r="C20" s="80"/>
      <c r="D20" s="99" t="s">
        <v>109</v>
      </c>
      <c r="E20" s="79"/>
      <c r="F20" s="80"/>
      <c r="G20" s="72"/>
      <c r="H20" s="72"/>
      <c r="I20" s="89"/>
      <c r="J20" s="72"/>
      <c r="K20" s="90"/>
      <c r="L20" s="72"/>
    </row>
    <row r="21" customFormat="false" ht="13.05" hidden="false" customHeight="false" outlineLevel="0" collapsed="false">
      <c r="A21" s="80"/>
      <c r="B21" s="80" t="s">
        <v>110</v>
      </c>
      <c r="C21" s="87" t="s">
        <v>111</v>
      </c>
      <c r="D21" s="100" t="s">
        <v>112</v>
      </c>
      <c r="E21" s="100" t="s">
        <v>113</v>
      </c>
      <c r="F21" s="80"/>
      <c r="G21" s="72"/>
      <c r="H21" s="72"/>
      <c r="I21" s="89"/>
      <c r="J21" s="72"/>
      <c r="K21" s="90"/>
      <c r="L21" s="72"/>
    </row>
    <row r="22" customFormat="false" ht="13.05" hidden="false" customHeight="false" outlineLevel="0" collapsed="false">
      <c r="A22" s="80"/>
      <c r="B22" s="80" t="s">
        <v>114</v>
      </c>
      <c r="C22" s="100" t="s">
        <v>111</v>
      </c>
      <c r="D22" s="87" t="s">
        <v>112</v>
      </c>
      <c r="E22" s="100" t="s">
        <v>113</v>
      </c>
      <c r="F22" s="80"/>
      <c r="G22" s="72"/>
      <c r="H22" s="72"/>
      <c r="I22" s="89"/>
      <c r="J22" s="72"/>
      <c r="K22" s="90"/>
      <c r="L22" s="72"/>
    </row>
    <row r="23" customFormat="false" ht="13.05" hidden="false" customHeight="false" outlineLevel="0" collapsed="false">
      <c r="A23" s="80"/>
      <c r="B23" s="80" t="s">
        <v>115</v>
      </c>
      <c r="C23" s="100" t="s">
        <v>116</v>
      </c>
      <c r="D23" s="87" t="s">
        <v>117</v>
      </c>
      <c r="E23" s="100" t="s">
        <v>118</v>
      </c>
      <c r="F23" s="80"/>
      <c r="G23" s="72"/>
      <c r="H23" s="72"/>
      <c r="I23" s="89"/>
      <c r="J23" s="72"/>
      <c r="K23" s="90"/>
      <c r="L23" s="72"/>
    </row>
    <row r="24" customFormat="false" ht="12.8" hidden="false" customHeight="false" outlineLevel="0" collapsed="false">
      <c r="A24" s="72"/>
      <c r="B24" s="72"/>
      <c r="C24" s="89"/>
      <c r="D24" s="72"/>
      <c r="E24" s="72"/>
      <c r="F24" s="72"/>
      <c r="G24" s="72"/>
      <c r="H24" s="72"/>
      <c r="I24" s="89"/>
      <c r="J24" s="72"/>
      <c r="K24" s="90"/>
      <c r="L24" s="72"/>
    </row>
    <row r="25" customFormat="false" ht="12.8" hidden="false" customHeight="false" outlineLevel="0" collapsed="false">
      <c r="A25" s="101" t="s">
        <v>119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88"/>
      <c r="M25" s="72"/>
    </row>
    <row r="26" customFormat="false" ht="13.05" hidden="false" customHeight="true" outlineLevel="0" collapsed="false">
      <c r="A26" s="79" t="s">
        <v>120</v>
      </c>
      <c r="B26" s="79" t="s">
        <v>121</v>
      </c>
      <c r="C26" s="79"/>
      <c r="D26" s="79"/>
      <c r="E26" s="79"/>
      <c r="F26" s="79" t="s">
        <v>122</v>
      </c>
      <c r="G26" s="79" t="s">
        <v>123</v>
      </c>
      <c r="H26" s="79" t="s">
        <v>97</v>
      </c>
      <c r="I26" s="79" t="s">
        <v>124</v>
      </c>
      <c r="J26" s="79" t="s">
        <v>107</v>
      </c>
      <c r="K26" s="79" t="s">
        <v>124</v>
      </c>
      <c r="L26" s="72"/>
      <c r="M26" s="69"/>
    </row>
    <row r="27" customFormat="false" ht="24.25" hidden="false" customHeight="false" outlineLevel="0" collapsed="false">
      <c r="A27" s="79" t="s">
        <v>125</v>
      </c>
      <c r="B27" s="79"/>
      <c r="C27" s="79"/>
      <c r="D27" s="79"/>
      <c r="E27" s="79"/>
      <c r="F27" s="79" t="s">
        <v>126</v>
      </c>
      <c r="G27" s="79" t="s">
        <v>127</v>
      </c>
      <c r="H27" s="79" t="s">
        <v>128</v>
      </c>
      <c r="I27" s="79" t="s">
        <v>129</v>
      </c>
      <c r="J27" s="79" t="s">
        <v>128</v>
      </c>
      <c r="K27" s="79" t="s">
        <v>129</v>
      </c>
      <c r="L27" s="72"/>
    </row>
    <row r="28" customFormat="false" ht="12.8" hidden="false" customHeight="true" outlineLevel="0" collapsed="false">
      <c r="A28" s="79" t="n">
        <v>1</v>
      </c>
      <c r="B28" s="80" t="s">
        <v>130</v>
      </c>
      <c r="C28" s="80"/>
      <c r="D28" s="80"/>
      <c r="E28" s="80"/>
      <c r="F28" s="87"/>
      <c r="G28" s="87" t="n">
        <v>2.28</v>
      </c>
      <c r="H28" s="102" t="n">
        <f aca="false">VALUES!$F46+(25.6-$E$9)+($D$9-0.5*$F$12-29.4)</f>
        <v>13.45</v>
      </c>
      <c r="I28" s="103" t="n">
        <f aca="false">F28*G28*H28</f>
        <v>0</v>
      </c>
      <c r="J28" s="102" t="n">
        <f aca="false">VALUES!$I46+(25.6-$E$15)+($D$15-0.5*$F$18-29.4)</f>
        <v>3.95</v>
      </c>
      <c r="K28" s="103" t="n">
        <f aca="false">F28*G28*J28</f>
        <v>0</v>
      </c>
      <c r="L28" s="72"/>
    </row>
    <row r="29" customFormat="false" ht="13.05" hidden="false" customHeight="true" outlineLevel="0" collapsed="false">
      <c r="A29" s="79" t="n">
        <v>2</v>
      </c>
      <c r="B29" s="80" t="s">
        <v>131</v>
      </c>
      <c r="C29" s="80"/>
      <c r="D29" s="80"/>
      <c r="E29" s="80"/>
      <c r="F29" s="87"/>
      <c r="G29" s="87" t="n">
        <v>2.28</v>
      </c>
      <c r="H29" s="102" t="n">
        <f aca="false">VALUES!$F47+(25.6-$E$9)+($D$9-0.5*$F$12-29.4)</f>
        <v>13.85</v>
      </c>
      <c r="I29" s="103" t="n">
        <f aca="false">F29*G29*H29</f>
        <v>0</v>
      </c>
      <c r="J29" s="102" t="n">
        <f aca="false">VALUES!$I47+(25.6-$E$15)+($D$15-0.5*$F$18-29.4)</f>
        <v>5.05</v>
      </c>
      <c r="K29" s="103" t="n">
        <f aca="false">F29*G29*J29</f>
        <v>0</v>
      </c>
      <c r="L29" s="72"/>
    </row>
    <row r="30" customFormat="false" ht="12.8" hidden="false" customHeight="true" outlineLevel="0" collapsed="false">
      <c r="A30" s="79" t="n">
        <v>3</v>
      </c>
      <c r="B30" s="80" t="s">
        <v>132</v>
      </c>
      <c r="C30" s="80"/>
      <c r="D30" s="80"/>
      <c r="E30" s="80"/>
      <c r="F30" s="87" t="n">
        <f aca="false">12.8*4.6</f>
        <v>58.88</v>
      </c>
      <c r="G30" s="87" t="n">
        <v>2.28</v>
      </c>
      <c r="H30" s="102" t="n">
        <f aca="false">VALUES!$F48+(25.6-$E$9)+($D$9-0.5*$F$12-29.4)</f>
        <v>13.85</v>
      </c>
      <c r="I30" s="103" t="n">
        <f aca="false">F30*G30*H30</f>
        <v>1859.31264</v>
      </c>
      <c r="J30" s="102" t="n">
        <f aca="false">VALUES!$I48+(25.6-$E$15)+($D$15-0.5*$F$18-29.4)</f>
        <v>8.95</v>
      </c>
      <c r="K30" s="103" t="n">
        <f aca="false">F30*G30*J30</f>
        <v>1201.50528</v>
      </c>
      <c r="L30" s="72"/>
    </row>
    <row r="31" customFormat="false" ht="13.05" hidden="false" customHeight="true" outlineLevel="0" collapsed="false">
      <c r="A31" s="79" t="n">
        <v>4</v>
      </c>
      <c r="B31" s="80" t="s">
        <v>133</v>
      </c>
      <c r="C31" s="80"/>
      <c r="D31" s="80"/>
      <c r="E31" s="80"/>
      <c r="F31" s="87"/>
      <c r="G31" s="87" t="n">
        <v>2.28</v>
      </c>
      <c r="H31" s="102" t="n">
        <f aca="false">VALUES!$F49+(25.6-$E$9)+($D$9-0.5*$F$12-29.4)</f>
        <v>11.15</v>
      </c>
      <c r="I31" s="103" t="n">
        <f aca="false">F31*G31*H31</f>
        <v>0</v>
      </c>
      <c r="J31" s="102" t="n">
        <f aca="false">VALUES!$I49+(25.6-$E$15)+($D$15-0.5*$F$18-29.4)</f>
        <v>10.55</v>
      </c>
      <c r="K31" s="103" t="n">
        <f aca="false">F31*G31*J31</f>
        <v>0</v>
      </c>
      <c r="L31" s="72"/>
    </row>
    <row r="32" customFormat="false" ht="13.05" hidden="false" customHeight="true" outlineLevel="0" collapsed="false">
      <c r="A32" s="79" t="n">
        <v>5</v>
      </c>
      <c r="B32" s="80" t="s">
        <v>134</v>
      </c>
      <c r="C32" s="80"/>
      <c r="D32" s="80"/>
      <c r="E32" s="80"/>
      <c r="F32" s="87"/>
      <c r="G32" s="87" t="n">
        <v>2.28</v>
      </c>
      <c r="H32" s="102" t="n">
        <f aca="false">VALUES!$F50+(25.6-$E$9)+($D$9-0.5*$F$12-29.4)</f>
        <v>9.95000000000001</v>
      </c>
      <c r="I32" s="103" t="n">
        <f aca="false">F32*G32*H32</f>
        <v>0</v>
      </c>
      <c r="J32" s="102" t="n">
        <f aca="false">VALUES!$I50+(25.6-$E$15)+($D$15-0.5*$F$18-29.4)</f>
        <v>11.65</v>
      </c>
      <c r="K32" s="103" t="n">
        <f aca="false">F32*G32*J32</f>
        <v>0</v>
      </c>
      <c r="L32" s="72"/>
    </row>
    <row r="33" customFormat="false" ht="13.05" hidden="false" customHeight="true" outlineLevel="0" collapsed="false">
      <c r="A33" s="79" t="n">
        <v>6</v>
      </c>
      <c r="B33" s="80" t="s">
        <v>135</v>
      </c>
      <c r="C33" s="80"/>
      <c r="D33" s="80"/>
      <c r="E33" s="80"/>
      <c r="F33" s="87"/>
      <c r="G33" s="87" t="n">
        <v>2.28</v>
      </c>
      <c r="H33" s="102" t="n">
        <f aca="false">VALUES!$F51+(25.6-$E$9)+($D$9-0.5*$F$12-29.4)</f>
        <v>11.95</v>
      </c>
      <c r="I33" s="103" t="n">
        <f aca="false">F33*G33*H33</f>
        <v>0</v>
      </c>
      <c r="J33" s="102" t="n">
        <f aca="false">VALUES!$I51+(25.6-$E$15)+($D$15-0.5*$F$18-29.4)</f>
        <v>11.35</v>
      </c>
      <c r="K33" s="103" t="n">
        <f aca="false">F33*G33*J33</f>
        <v>0</v>
      </c>
      <c r="L33" s="72"/>
    </row>
    <row r="34" customFormat="false" ht="23.85" hidden="false" customHeight="true" outlineLevel="0" collapsed="false">
      <c r="A34" s="79" t="n">
        <v>7</v>
      </c>
      <c r="B34" s="80" t="s">
        <v>136</v>
      </c>
      <c r="C34" s="80"/>
      <c r="D34" s="80"/>
      <c r="E34" s="80"/>
      <c r="F34" s="87"/>
      <c r="G34" s="87" t="n">
        <v>2.28</v>
      </c>
      <c r="H34" s="102" t="n">
        <f aca="false">VALUES!$F52+(25.6-$E$9)+($D$9-0.5*$F$12-29.4)</f>
        <v>15.05</v>
      </c>
      <c r="I34" s="103" t="n">
        <f aca="false">F34*G34*H34</f>
        <v>0</v>
      </c>
      <c r="J34" s="102" t="n">
        <f aca="false">VALUES!$I52+(25.6-$E$15)+($D$15-0.5*$F$18-29.4)</f>
        <v>10.15</v>
      </c>
      <c r="K34" s="103" t="n">
        <f aca="false">F34*G34*J34</f>
        <v>0</v>
      </c>
      <c r="L34" s="72"/>
      <c r="M34" s="104" t="s">
        <v>137</v>
      </c>
      <c r="N34" s="104" t="s">
        <v>138</v>
      </c>
    </row>
    <row r="35" customFormat="false" ht="13.05" hidden="false" customHeight="true" outlineLevel="0" collapsed="false">
      <c r="A35" s="79" t="n">
        <v>8</v>
      </c>
      <c r="B35" s="80" t="s">
        <v>139</v>
      </c>
      <c r="C35" s="80"/>
      <c r="D35" s="80"/>
      <c r="E35" s="80"/>
      <c r="F35" s="87"/>
      <c r="G35" s="87" t="n">
        <v>2.28</v>
      </c>
      <c r="H35" s="102" t="n">
        <f aca="false">VALUES!$F53+(25.6-$E$9)+($D$9-0.5*$F$12-29.4)</f>
        <v>14.65</v>
      </c>
      <c r="I35" s="103" t="n">
        <f aca="false">F35*G35*H35</f>
        <v>0</v>
      </c>
      <c r="J35" s="102" t="n">
        <f aca="false">VALUES!$I53+(25.6-$E$15)+($D$15-0.5*$F$18-29.4)</f>
        <v>5.85</v>
      </c>
      <c r="K35" s="103" t="n">
        <f aca="false">F35*G35*J35</f>
        <v>0</v>
      </c>
      <c r="L35" s="72"/>
      <c r="M35" s="105"/>
      <c r="N35" s="105"/>
      <c r="O35" s="104" t="n">
        <f aca="false">VALUES!$C$21</f>
        <v>6</v>
      </c>
      <c r="P35" s="104" t="n">
        <f aca="false">VALUES!$D$21</f>
        <v>7</v>
      </c>
      <c r="Q35" s="104" t="n">
        <f aca="false">VALUES!$E$21</f>
        <v>8</v>
      </c>
      <c r="R35" s="104" t="n">
        <f aca="false">VALUES!$F$21</f>
        <v>9</v>
      </c>
      <c r="S35" s="104" t="n">
        <f aca="false">VALUES!$G$21</f>
        <v>10</v>
      </c>
      <c r="T35" s="104" t="n">
        <f aca="false">VALUES!$H$21</f>
        <v>11</v>
      </c>
      <c r="U35" s="104" t="n">
        <f aca="false">VALUES!$I$21</f>
        <v>12</v>
      </c>
      <c r="V35" s="104" t="n">
        <f aca="false">VALUES!$J$21</f>
        <v>13</v>
      </c>
      <c r="W35" s="104" t="n">
        <f aca="false">VALUES!$K$21</f>
        <v>14</v>
      </c>
      <c r="X35" s="104" t="n">
        <f aca="false">VALUES!$L$21</f>
        <v>15</v>
      </c>
      <c r="Y35" s="104" t="n">
        <f aca="false">VALUES!$M$21</f>
        <v>16</v>
      </c>
      <c r="Z35" s="104" t="n">
        <f aca="false">VALUES!$N$21</f>
        <v>17</v>
      </c>
      <c r="AA35" s="104" t="n">
        <f aca="false">VALUES!$O$21</f>
        <v>18</v>
      </c>
    </row>
    <row r="36" customFormat="false" ht="13.05" hidden="false" customHeight="true" outlineLevel="0" collapsed="false">
      <c r="A36" s="79" t="n">
        <v>9</v>
      </c>
      <c r="B36" s="80" t="s">
        <v>140</v>
      </c>
      <c r="C36" s="80"/>
      <c r="D36" s="80"/>
      <c r="E36" s="80"/>
      <c r="F36" s="87"/>
      <c r="G36" s="87" t="n">
        <v>5.23</v>
      </c>
      <c r="H36" s="102" t="n">
        <f aca="false">M36+(25.6-$E$9)+($D$9-0.5*$F$12-29.4)</f>
        <v>4.15000000000001</v>
      </c>
      <c r="I36" s="103" t="n">
        <f aca="false">F36*G36*H36</f>
        <v>0</v>
      </c>
      <c r="J36" s="102" t="n">
        <f aca="false">N36+(25.6-$E$15)+($D$15-0.5*$F$18-29.4)</f>
        <v>-0.75</v>
      </c>
      <c r="K36" s="103" t="n">
        <f aca="false">F36*G36*J36</f>
        <v>-0</v>
      </c>
      <c r="L36" s="72"/>
      <c r="M36" s="106" t="n">
        <f aca="false">INDEX(O36:AA36,1,MATCH(MAX($O$64:$AA$64),$O$64:$AA$64,0))</f>
        <v>0</v>
      </c>
      <c r="N36" s="107" t="n">
        <f aca="false">INDEX(O36:AA36,1,MATCH(MAX($O$65:$AA$65),$O$65:$AA$65,0))</f>
        <v>0</v>
      </c>
      <c r="O36" s="108" t="n">
        <f aca="false">VALUES!C$61</f>
        <v>-1.1</v>
      </c>
      <c r="P36" s="108" t="n">
        <f aca="false">VALUES!D$61</f>
        <v>-1.1</v>
      </c>
      <c r="Q36" s="108" t="n">
        <f aca="false">VALUES!E$61</f>
        <v>0</v>
      </c>
      <c r="R36" s="108" t="n">
        <f aca="false">VALUES!F$61</f>
        <v>1.1</v>
      </c>
      <c r="S36" s="108" t="n">
        <f aca="false">VALUES!G$61</f>
        <v>2.2</v>
      </c>
      <c r="T36" s="108" t="n">
        <f aca="false">VALUES!H$61</f>
        <v>3.9</v>
      </c>
      <c r="U36" s="108" t="n">
        <f aca="false">VALUES!I$61</f>
        <v>5</v>
      </c>
      <c r="V36" s="108" t="n">
        <f aca="false">VALUES!J$61</f>
        <v>6.7</v>
      </c>
      <c r="W36" s="108" t="n">
        <f aca="false">VALUES!K$61</f>
        <v>7.2</v>
      </c>
      <c r="X36" s="108" t="n">
        <f aca="false">VALUES!L$61</f>
        <v>7.8</v>
      </c>
      <c r="Y36" s="108" t="n">
        <f aca="false">VALUES!M$61</f>
        <v>7.8</v>
      </c>
      <c r="Z36" s="108" t="n">
        <f aca="false">VALUES!N$61</f>
        <v>7.2</v>
      </c>
      <c r="AA36" s="108" t="n">
        <f aca="false">VALUES!O$61</f>
        <v>6.7</v>
      </c>
    </row>
    <row r="37" customFormat="false" ht="13.05" hidden="false" customHeight="true" outlineLevel="0" collapsed="false">
      <c r="A37" s="79" t="n">
        <v>10</v>
      </c>
      <c r="B37" s="80" t="s">
        <v>141</v>
      </c>
      <c r="C37" s="80"/>
      <c r="D37" s="80"/>
      <c r="E37" s="80"/>
      <c r="F37" s="87"/>
      <c r="G37" s="87" t="n">
        <v>5.23</v>
      </c>
      <c r="H37" s="102" t="n">
        <f aca="false">M37+(25.6-$E$9)+($D$9-0.5*$F$12-29.4)</f>
        <v>4.15000000000001</v>
      </c>
      <c r="I37" s="103" t="n">
        <f aca="false">F37*G37*H37</f>
        <v>0</v>
      </c>
      <c r="J37" s="102" t="n">
        <f aca="false">N37+(25.6-$E$15)+($D$15-0.5*$F$18-29.4)</f>
        <v>-0.75</v>
      </c>
      <c r="K37" s="103" t="n">
        <f aca="false">F37*G37*J37</f>
        <v>-0</v>
      </c>
      <c r="L37" s="72"/>
      <c r="M37" s="109" t="n">
        <f aca="false">INDEX(O37:AA37,1,MATCH(MAX($O$64:$AA$64),$O$64:$AA$64,0))</f>
        <v>0</v>
      </c>
      <c r="N37" s="110" t="n">
        <f aca="false">INDEX(O37:AA37,1,MATCH(MAX($O$65:$AA$65),$O$65:$AA$65,0))</f>
        <v>0</v>
      </c>
      <c r="O37" s="108" t="n">
        <f aca="false">VALUES!C$61</f>
        <v>-1.1</v>
      </c>
      <c r="P37" s="108" t="n">
        <f aca="false">VALUES!D$61</f>
        <v>-1.1</v>
      </c>
      <c r="Q37" s="108" t="n">
        <f aca="false">VALUES!E$61</f>
        <v>0</v>
      </c>
      <c r="R37" s="108" t="n">
        <f aca="false">VALUES!F$61</f>
        <v>1.1</v>
      </c>
      <c r="S37" s="108" t="n">
        <f aca="false">VALUES!G$61</f>
        <v>2.2</v>
      </c>
      <c r="T37" s="108" t="n">
        <f aca="false">VALUES!H$61</f>
        <v>3.9</v>
      </c>
      <c r="U37" s="108" t="n">
        <f aca="false">VALUES!I$61</f>
        <v>5</v>
      </c>
      <c r="V37" s="108" t="n">
        <f aca="false">VALUES!J$61</f>
        <v>6.7</v>
      </c>
      <c r="W37" s="108" t="n">
        <f aca="false">VALUES!K$61</f>
        <v>7.2</v>
      </c>
      <c r="X37" s="108" t="n">
        <f aca="false">VALUES!L$61</f>
        <v>7.8</v>
      </c>
      <c r="Y37" s="108" t="n">
        <f aca="false">VALUES!M$61</f>
        <v>7.8</v>
      </c>
      <c r="Z37" s="108" t="n">
        <f aca="false">VALUES!N$61</f>
        <v>7.2</v>
      </c>
      <c r="AA37" s="108" t="n">
        <f aca="false">VALUES!O$61</f>
        <v>6.7</v>
      </c>
    </row>
    <row r="38" customFormat="false" ht="12.8" hidden="false" customHeight="true" outlineLevel="0" collapsed="false">
      <c r="A38" s="79" t="n">
        <v>11</v>
      </c>
      <c r="B38" s="80" t="s">
        <v>142</v>
      </c>
      <c r="C38" s="80"/>
      <c r="D38" s="80"/>
      <c r="E38" s="80"/>
      <c r="F38" s="87" t="n">
        <f aca="false">F30*0.3</f>
        <v>17.664</v>
      </c>
      <c r="G38" s="87" t="n">
        <v>5.23</v>
      </c>
      <c r="H38" s="102" t="n">
        <f aca="false">M38+(25.6-$E$9)+($D$9-0.5*$F$12-29.4)</f>
        <v>4.15000000000001</v>
      </c>
      <c r="I38" s="103" t="n">
        <f aca="false">F38*G38*H38</f>
        <v>383.388288000001</v>
      </c>
      <c r="J38" s="102" t="n">
        <f aca="false">N38+(25.6-$E$15)+($D$15-0.5*$F$18-29.4)</f>
        <v>-0.75</v>
      </c>
      <c r="K38" s="103" t="n">
        <f aca="false">F38*G38*J38</f>
        <v>-69.28704</v>
      </c>
      <c r="L38" s="72"/>
      <c r="M38" s="109" t="n">
        <f aca="false">INDEX(O38:AA38,1,MATCH(MAX($O$64:$AA$64),$O$64:$AA$64,0))</f>
        <v>0</v>
      </c>
      <c r="N38" s="110" t="n">
        <f aca="false">INDEX(O38:AA38,1,MATCH(MAX($O$65:$AA$65),$O$65:$AA$65,0))</f>
        <v>0</v>
      </c>
      <c r="O38" s="108" t="n">
        <f aca="false">VALUES!C$61</f>
        <v>-1.1</v>
      </c>
      <c r="P38" s="108" t="n">
        <f aca="false">VALUES!D$61</f>
        <v>-1.1</v>
      </c>
      <c r="Q38" s="108" t="n">
        <f aca="false">VALUES!E$61</f>
        <v>0</v>
      </c>
      <c r="R38" s="108" t="n">
        <f aca="false">VALUES!F$61</f>
        <v>1.1</v>
      </c>
      <c r="S38" s="108" t="n">
        <f aca="false">VALUES!G$61</f>
        <v>2.2</v>
      </c>
      <c r="T38" s="108" t="n">
        <f aca="false">VALUES!H$61</f>
        <v>3.9</v>
      </c>
      <c r="U38" s="108" t="n">
        <f aca="false">VALUES!I$61</f>
        <v>5</v>
      </c>
      <c r="V38" s="108" t="n">
        <f aca="false">VALUES!J$61</f>
        <v>6.7</v>
      </c>
      <c r="W38" s="108" t="n">
        <f aca="false">VALUES!K$61</f>
        <v>7.2</v>
      </c>
      <c r="X38" s="108" t="n">
        <f aca="false">VALUES!L$61</f>
        <v>7.8</v>
      </c>
      <c r="Y38" s="108" t="n">
        <f aca="false">VALUES!M$61</f>
        <v>7.8</v>
      </c>
      <c r="Z38" s="108" t="n">
        <f aca="false">VALUES!N$61</f>
        <v>7.2</v>
      </c>
      <c r="AA38" s="108" t="n">
        <f aca="false">VALUES!O$61</f>
        <v>6.7</v>
      </c>
    </row>
    <row r="39" customFormat="false" ht="13.05" hidden="false" customHeight="true" outlineLevel="0" collapsed="false">
      <c r="A39" s="79" t="n">
        <v>12</v>
      </c>
      <c r="B39" s="80" t="s">
        <v>143</v>
      </c>
      <c r="C39" s="80"/>
      <c r="D39" s="80"/>
      <c r="E39" s="80"/>
      <c r="F39" s="87"/>
      <c r="G39" s="87" t="n">
        <v>5.23</v>
      </c>
      <c r="H39" s="102" t="n">
        <f aca="false">M39+(25.6-$E$9)+($D$9-0.5*$F$12-29.4)</f>
        <v>4.15000000000001</v>
      </c>
      <c r="I39" s="103" t="n">
        <f aca="false">F39*G39*H39</f>
        <v>0</v>
      </c>
      <c r="J39" s="102" t="n">
        <f aca="false">N39+(25.6-$E$15)+($D$15-0.5*$F$18-29.4)</f>
        <v>-0.75</v>
      </c>
      <c r="K39" s="103" t="n">
        <f aca="false">F39*G39*J39</f>
        <v>-0</v>
      </c>
      <c r="L39" s="72"/>
      <c r="M39" s="109" t="n">
        <f aca="false">INDEX(O39:AA39,1,MATCH(MAX($O$64:$AA$64),$O$64:$AA$64,0))</f>
        <v>0</v>
      </c>
      <c r="N39" s="110" t="n">
        <f aca="false">INDEX(O39:AA39,1,MATCH(MAX($O$65:$AA$65),$O$65:$AA$65,0))</f>
        <v>0</v>
      </c>
      <c r="O39" s="108" t="n">
        <f aca="false">VALUES!C$61</f>
        <v>-1.1</v>
      </c>
      <c r="P39" s="108" t="n">
        <f aca="false">VALUES!D$61</f>
        <v>-1.1</v>
      </c>
      <c r="Q39" s="108" t="n">
        <f aca="false">VALUES!E$61</f>
        <v>0</v>
      </c>
      <c r="R39" s="108" t="n">
        <f aca="false">VALUES!F$61</f>
        <v>1.1</v>
      </c>
      <c r="S39" s="108" t="n">
        <f aca="false">VALUES!G$61</f>
        <v>2.2</v>
      </c>
      <c r="T39" s="108" t="n">
        <f aca="false">VALUES!H$61</f>
        <v>3.9</v>
      </c>
      <c r="U39" s="108" t="n">
        <f aca="false">VALUES!I$61</f>
        <v>5</v>
      </c>
      <c r="V39" s="108" t="n">
        <f aca="false">VALUES!J$61</f>
        <v>6.7</v>
      </c>
      <c r="W39" s="108" t="n">
        <f aca="false">VALUES!K$61</f>
        <v>7.2</v>
      </c>
      <c r="X39" s="108" t="n">
        <f aca="false">VALUES!L$61</f>
        <v>7.8</v>
      </c>
      <c r="Y39" s="108" t="n">
        <f aca="false">VALUES!M$61</f>
        <v>7.8</v>
      </c>
      <c r="Z39" s="108" t="n">
        <f aca="false">VALUES!N$61</f>
        <v>7.2</v>
      </c>
      <c r="AA39" s="108" t="n">
        <f aca="false">VALUES!O$61</f>
        <v>6.7</v>
      </c>
    </row>
    <row r="40" customFormat="false" ht="13.05" hidden="false" customHeight="true" outlineLevel="0" collapsed="false">
      <c r="A40" s="79" t="n">
        <v>13</v>
      </c>
      <c r="B40" s="80" t="s">
        <v>144</v>
      </c>
      <c r="C40" s="80"/>
      <c r="D40" s="80"/>
      <c r="E40" s="80"/>
      <c r="F40" s="87"/>
      <c r="G40" s="87" t="n">
        <v>5.23</v>
      </c>
      <c r="H40" s="102" t="n">
        <f aca="false">M40+(25.6-$E$9)+($D$9-0.5*$F$12-29.4)</f>
        <v>4.15000000000001</v>
      </c>
      <c r="I40" s="103" t="n">
        <f aca="false">F40*G40*H40</f>
        <v>0</v>
      </c>
      <c r="J40" s="102" t="n">
        <f aca="false">N40+(25.6-$E$15)+($D$15-0.5*$F$18-29.4)</f>
        <v>-0.75</v>
      </c>
      <c r="K40" s="103" t="n">
        <f aca="false">F40*G40*J40</f>
        <v>-0</v>
      </c>
      <c r="L40" s="72"/>
      <c r="M40" s="109" t="n">
        <f aca="false">INDEX(O40:AA40,1,MATCH(MAX($O$64:$AA$64),$O$64:$AA$64,0))</f>
        <v>0</v>
      </c>
      <c r="N40" s="110" t="n">
        <f aca="false">INDEX(O40:AA40,1,MATCH(MAX($O$65:$AA$65),$O$65:$AA$65,0))</f>
        <v>0</v>
      </c>
      <c r="O40" s="108" t="n">
        <f aca="false">VALUES!C$61</f>
        <v>-1.1</v>
      </c>
      <c r="P40" s="108" t="n">
        <f aca="false">VALUES!D$61</f>
        <v>-1.1</v>
      </c>
      <c r="Q40" s="108" t="n">
        <f aca="false">VALUES!E$61</f>
        <v>0</v>
      </c>
      <c r="R40" s="108" t="n">
        <f aca="false">VALUES!F$61</f>
        <v>1.1</v>
      </c>
      <c r="S40" s="108" t="n">
        <f aca="false">VALUES!G$61</f>
        <v>2.2</v>
      </c>
      <c r="T40" s="108" t="n">
        <f aca="false">VALUES!H$61</f>
        <v>3.9</v>
      </c>
      <c r="U40" s="108" t="n">
        <f aca="false">VALUES!I$61</f>
        <v>5</v>
      </c>
      <c r="V40" s="108" t="n">
        <f aca="false">VALUES!J$61</f>
        <v>6.7</v>
      </c>
      <c r="W40" s="108" t="n">
        <f aca="false">VALUES!K$61</f>
        <v>7.2</v>
      </c>
      <c r="X40" s="108" t="n">
        <f aca="false">VALUES!L$61</f>
        <v>7.8</v>
      </c>
      <c r="Y40" s="108" t="n">
        <f aca="false">VALUES!M$61</f>
        <v>7.8</v>
      </c>
      <c r="Z40" s="108" t="n">
        <f aca="false">VALUES!N$61</f>
        <v>7.2</v>
      </c>
      <c r="AA40" s="108" t="n">
        <f aca="false">VALUES!O$61</f>
        <v>6.7</v>
      </c>
    </row>
    <row r="41" customFormat="false" ht="13.05" hidden="false" customHeight="true" outlineLevel="0" collapsed="false">
      <c r="A41" s="79" t="n">
        <v>14</v>
      </c>
      <c r="B41" s="80" t="s">
        <v>145</v>
      </c>
      <c r="C41" s="80"/>
      <c r="D41" s="80"/>
      <c r="E41" s="80"/>
      <c r="F41" s="87"/>
      <c r="G41" s="87" t="n">
        <v>5.23</v>
      </c>
      <c r="H41" s="102" t="n">
        <f aca="false">M41+(25.6-$E$9)+($D$9-0.5*$F$12-29.4)</f>
        <v>4.15000000000001</v>
      </c>
      <c r="I41" s="103" t="n">
        <f aca="false">F41*G41*H41</f>
        <v>0</v>
      </c>
      <c r="J41" s="102" t="n">
        <f aca="false">N41+(25.6-$E$15)+($D$15-0.5*$F$18-29.4)</f>
        <v>-0.75</v>
      </c>
      <c r="K41" s="103" t="n">
        <f aca="false">F41*G41*J41</f>
        <v>-0</v>
      </c>
      <c r="L41" s="72"/>
      <c r="M41" s="109" t="n">
        <f aca="false">INDEX(O41:AA41,1,MATCH(MAX($O$64:$AA$64),$O$64:$AA$64,0))</f>
        <v>0</v>
      </c>
      <c r="N41" s="110" t="n">
        <f aca="false">INDEX(O41:AA41,1,MATCH(MAX($O$65:$AA$65),$O$65:$AA$65,0))</f>
        <v>0</v>
      </c>
      <c r="O41" s="108" t="n">
        <f aca="false">VALUES!C$61</f>
        <v>-1.1</v>
      </c>
      <c r="P41" s="108" t="n">
        <f aca="false">VALUES!D$61</f>
        <v>-1.1</v>
      </c>
      <c r="Q41" s="108" t="n">
        <f aca="false">VALUES!E$61</f>
        <v>0</v>
      </c>
      <c r="R41" s="108" t="n">
        <f aca="false">VALUES!F$61</f>
        <v>1.1</v>
      </c>
      <c r="S41" s="108" t="n">
        <f aca="false">VALUES!G$61</f>
        <v>2.2</v>
      </c>
      <c r="T41" s="108" t="n">
        <f aca="false">VALUES!H$61</f>
        <v>3.9</v>
      </c>
      <c r="U41" s="108" t="n">
        <f aca="false">VALUES!I$61</f>
        <v>5</v>
      </c>
      <c r="V41" s="108" t="n">
        <f aca="false">VALUES!J$61</f>
        <v>6.7</v>
      </c>
      <c r="W41" s="108" t="n">
        <f aca="false">VALUES!K$61</f>
        <v>7.2</v>
      </c>
      <c r="X41" s="108" t="n">
        <f aca="false">VALUES!L$61</f>
        <v>7.8</v>
      </c>
      <c r="Y41" s="108" t="n">
        <f aca="false">VALUES!M$61</f>
        <v>7.8</v>
      </c>
      <c r="Z41" s="108" t="n">
        <f aca="false">VALUES!N$61</f>
        <v>7.2</v>
      </c>
      <c r="AA41" s="108" t="n">
        <f aca="false">VALUES!O$61</f>
        <v>6.7</v>
      </c>
    </row>
    <row r="42" customFormat="false" ht="13.05" hidden="false" customHeight="true" outlineLevel="0" collapsed="false">
      <c r="A42" s="79" t="n">
        <v>15</v>
      </c>
      <c r="B42" s="80" t="s">
        <v>146</v>
      </c>
      <c r="C42" s="80"/>
      <c r="D42" s="80"/>
      <c r="E42" s="80"/>
      <c r="F42" s="87"/>
      <c r="G42" s="87" t="n">
        <v>5.23</v>
      </c>
      <c r="H42" s="102" t="n">
        <f aca="false">M42+(25.6-$E$9)+($D$9-0.5*$F$12-29.4)</f>
        <v>4.15000000000001</v>
      </c>
      <c r="I42" s="103" t="n">
        <f aca="false">F42*G42*H42</f>
        <v>0</v>
      </c>
      <c r="J42" s="102" t="n">
        <f aca="false">N42+(25.6-$E$15)+($D$15-0.5*$F$18-29.4)</f>
        <v>-0.75</v>
      </c>
      <c r="K42" s="103" t="n">
        <f aca="false">F42*G42*J42</f>
        <v>-0</v>
      </c>
      <c r="L42" s="72"/>
      <c r="M42" s="109" t="n">
        <f aca="false">INDEX(O42:AA42,1,MATCH(MAX($O$64:$AA$64),$O$64:$AA$64,0))</f>
        <v>0</v>
      </c>
      <c r="N42" s="110" t="n">
        <f aca="false">INDEX(O42:AA42,1,MATCH(MAX($O$65:$AA$65),$O$65:$AA$65,0))</f>
        <v>0</v>
      </c>
      <c r="O42" s="108" t="n">
        <f aca="false">VALUES!C$61</f>
        <v>-1.1</v>
      </c>
      <c r="P42" s="108" t="n">
        <f aca="false">VALUES!D$61</f>
        <v>-1.1</v>
      </c>
      <c r="Q42" s="108" t="n">
        <f aca="false">VALUES!E$61</f>
        <v>0</v>
      </c>
      <c r="R42" s="108" t="n">
        <f aca="false">VALUES!F$61</f>
        <v>1.1</v>
      </c>
      <c r="S42" s="108" t="n">
        <f aca="false">VALUES!G$61</f>
        <v>2.2</v>
      </c>
      <c r="T42" s="108" t="n">
        <f aca="false">VALUES!H$61</f>
        <v>3.9</v>
      </c>
      <c r="U42" s="108" t="n">
        <f aca="false">VALUES!I$61</f>
        <v>5</v>
      </c>
      <c r="V42" s="108" t="n">
        <f aca="false">VALUES!J$61</f>
        <v>6.7</v>
      </c>
      <c r="W42" s="108" t="n">
        <f aca="false">VALUES!K$61</f>
        <v>7.2</v>
      </c>
      <c r="X42" s="108" t="n">
        <f aca="false">VALUES!L$61</f>
        <v>7.8</v>
      </c>
      <c r="Y42" s="108" t="n">
        <f aca="false">VALUES!M$61</f>
        <v>7.8</v>
      </c>
      <c r="Z42" s="108" t="n">
        <f aca="false">VALUES!N$61</f>
        <v>7.2</v>
      </c>
      <c r="AA42" s="108" t="n">
        <f aca="false">VALUES!O$61</f>
        <v>6.7</v>
      </c>
    </row>
    <row r="43" customFormat="false" ht="13.05" hidden="false" customHeight="true" outlineLevel="0" collapsed="false">
      <c r="A43" s="79" t="n">
        <v>16</v>
      </c>
      <c r="B43" s="80" t="s">
        <v>147</v>
      </c>
      <c r="C43" s="80"/>
      <c r="D43" s="80"/>
      <c r="E43" s="80"/>
      <c r="F43" s="87"/>
      <c r="G43" s="87" t="n">
        <v>5.23</v>
      </c>
      <c r="H43" s="102" t="n">
        <f aca="false">M43+(25.6-$E$9)+($D$9-0.5*$F$12-29.4)</f>
        <v>4.15000000000001</v>
      </c>
      <c r="I43" s="103" t="n">
        <f aca="false">F43*G43*H43</f>
        <v>0</v>
      </c>
      <c r="J43" s="102" t="n">
        <f aca="false">N43+(25.6-$E$15)+($D$15-0.5*$F$18-29.4)</f>
        <v>-0.75</v>
      </c>
      <c r="K43" s="103" t="n">
        <f aca="false">F43*G43*J43</f>
        <v>-0</v>
      </c>
      <c r="L43" s="72"/>
      <c r="M43" s="109" t="n">
        <f aca="false">INDEX(O43:AA43,1,MATCH(MAX($O$64:$AA$64),$O$64:$AA$64,0))</f>
        <v>0</v>
      </c>
      <c r="N43" s="110" t="n">
        <f aca="false">INDEX(O43:AA43,1,MATCH(MAX($O$65:$AA$65),$O$65:$AA$65,0))</f>
        <v>0</v>
      </c>
      <c r="O43" s="108" t="n">
        <f aca="false">VALUES!C$61</f>
        <v>-1.1</v>
      </c>
      <c r="P43" s="108" t="n">
        <f aca="false">VALUES!D$61</f>
        <v>-1.1</v>
      </c>
      <c r="Q43" s="108" t="n">
        <f aca="false">VALUES!E$61</f>
        <v>0</v>
      </c>
      <c r="R43" s="108" t="n">
        <f aca="false">VALUES!F$61</f>
        <v>1.1</v>
      </c>
      <c r="S43" s="108" t="n">
        <f aca="false">VALUES!G$61</f>
        <v>2.2</v>
      </c>
      <c r="T43" s="108" t="n">
        <f aca="false">VALUES!H$61</f>
        <v>3.9</v>
      </c>
      <c r="U43" s="108" t="n">
        <f aca="false">VALUES!I$61</f>
        <v>5</v>
      </c>
      <c r="V43" s="108" t="n">
        <f aca="false">VALUES!J$61</f>
        <v>6.7</v>
      </c>
      <c r="W43" s="108" t="n">
        <f aca="false">VALUES!K$61</f>
        <v>7.2</v>
      </c>
      <c r="X43" s="108" t="n">
        <f aca="false">VALUES!L$61</f>
        <v>7.8</v>
      </c>
      <c r="Y43" s="108" t="n">
        <f aca="false">VALUES!M$61</f>
        <v>7.8</v>
      </c>
      <c r="Z43" s="108" t="n">
        <f aca="false">VALUES!N$61</f>
        <v>7.2</v>
      </c>
      <c r="AA43" s="108" t="n">
        <f aca="false">VALUES!O$61</f>
        <v>6.7</v>
      </c>
    </row>
    <row r="44" customFormat="false" ht="12.8" hidden="false" customHeight="true" outlineLevel="0" collapsed="false">
      <c r="A44" s="79" t="n">
        <v>17</v>
      </c>
      <c r="B44" s="80" t="s">
        <v>148</v>
      </c>
      <c r="C44" s="80"/>
      <c r="D44" s="80"/>
      <c r="E44" s="80"/>
      <c r="F44" s="87" t="n">
        <f aca="false">(12.8+10.5+14)*4.6</f>
        <v>171.58</v>
      </c>
      <c r="G44" s="87" t="n">
        <v>2.28</v>
      </c>
      <c r="H44" s="102" t="n">
        <f aca="false">$D$9-$E$9-3</f>
        <v>10.2</v>
      </c>
      <c r="I44" s="103" t="n">
        <f aca="false">F44*G44*H44</f>
        <v>3990.26448</v>
      </c>
      <c r="J44" s="102" t="n">
        <f aca="false">$D$15-$E$15-3</f>
        <v>5.3</v>
      </c>
      <c r="K44" s="103" t="n">
        <f aca="false">F44*G44*J44</f>
        <v>2073.37272</v>
      </c>
      <c r="L44" s="72"/>
      <c r="M44" s="111"/>
      <c r="N44" s="111"/>
    </row>
    <row r="45" customFormat="false" ht="13.05" hidden="false" customHeight="true" outlineLevel="0" collapsed="false">
      <c r="A45" s="79" t="n">
        <v>18</v>
      </c>
      <c r="B45" s="80" t="s">
        <v>149</v>
      </c>
      <c r="C45" s="80"/>
      <c r="D45" s="80"/>
      <c r="E45" s="80"/>
      <c r="F45" s="87"/>
      <c r="G45" s="87" t="n">
        <v>7.1</v>
      </c>
      <c r="H45" s="102" t="n">
        <f aca="false">$D$9-$E$9-3</f>
        <v>10.2</v>
      </c>
      <c r="I45" s="103" t="n">
        <f aca="false">F45*G45*H45</f>
        <v>0</v>
      </c>
      <c r="J45" s="102" t="n">
        <f aca="false">$D$15-$E$15-3</f>
        <v>5.3</v>
      </c>
      <c r="K45" s="103" t="n">
        <f aca="false">F45*G45*J45</f>
        <v>0</v>
      </c>
      <c r="L45" s="72"/>
      <c r="M45" s="111"/>
      <c r="N45" s="111"/>
    </row>
    <row r="46" customFormat="false" ht="13.05" hidden="false" customHeight="true" outlineLevel="0" collapsed="false">
      <c r="A46" s="79" t="n">
        <v>19</v>
      </c>
      <c r="B46" s="80" t="s">
        <v>150</v>
      </c>
      <c r="C46" s="80"/>
      <c r="D46" s="80"/>
      <c r="E46" s="80"/>
      <c r="F46" s="87" t="n">
        <f aca="false">B85</f>
        <v>151.9</v>
      </c>
      <c r="G46" s="87" t="n">
        <v>3.19</v>
      </c>
      <c r="H46" s="102" t="n">
        <f aca="false">$D$9-$E$9-3</f>
        <v>10.2</v>
      </c>
      <c r="I46" s="103" t="n">
        <f aca="false">F46*G46*H46</f>
        <v>4942.5222</v>
      </c>
      <c r="J46" s="102" t="n">
        <f aca="false">$D$15-$E$15-3</f>
        <v>5.3</v>
      </c>
      <c r="K46" s="103" t="n">
        <f aca="false">F46*G46*J46</f>
        <v>2568.1733</v>
      </c>
      <c r="L46" s="72"/>
      <c r="M46" s="111"/>
      <c r="N46" s="111"/>
    </row>
    <row r="47" customFormat="false" ht="13.05" hidden="false" customHeight="true" outlineLevel="0" collapsed="false">
      <c r="A47" s="79" t="n">
        <v>20</v>
      </c>
      <c r="B47" s="80" t="s">
        <v>151</v>
      </c>
      <c r="C47" s="80"/>
      <c r="D47" s="80"/>
      <c r="E47" s="80"/>
      <c r="F47" s="87"/>
      <c r="G47" s="87" t="n">
        <v>0.7</v>
      </c>
      <c r="H47" s="102" t="n">
        <f aca="false">VALUES!$F$39+(25.6-$E$9)+($D$9-0.5*$F$12-29.4)</f>
        <v>29.65</v>
      </c>
      <c r="I47" s="103" t="n">
        <f aca="false">F47*G47*H47</f>
        <v>0</v>
      </c>
      <c r="J47" s="102" t="n">
        <f aca="false">VALUES!$I$39+(25.6-$E$15)+($D$15-0.5*$F$18-29.4)</f>
        <v>23.75</v>
      </c>
      <c r="K47" s="103" t="n">
        <f aca="false">F47*G47*J47</f>
        <v>0</v>
      </c>
      <c r="M47" s="111"/>
      <c r="N47" s="111"/>
    </row>
    <row r="48" customFormat="false" ht="24.25" hidden="false" customHeight="true" outlineLevel="0" collapsed="false">
      <c r="A48" s="79" t="n">
        <v>21</v>
      </c>
      <c r="B48" s="80" t="s">
        <v>152</v>
      </c>
      <c r="C48" s="80"/>
      <c r="D48" s="80"/>
      <c r="E48" s="80"/>
      <c r="F48" s="87" t="n">
        <f aca="false">B85</f>
        <v>151.9</v>
      </c>
      <c r="G48" s="87" t="n">
        <v>3.19</v>
      </c>
      <c r="H48" s="102" t="n">
        <f aca="false">$D$9-$E$9-3</f>
        <v>10.2</v>
      </c>
      <c r="I48" s="103" t="n">
        <f aca="false">F48*G48*H48</f>
        <v>4942.5222</v>
      </c>
      <c r="J48" s="102" t="n">
        <f aca="false">$D$15-$E$15-3</f>
        <v>5.3</v>
      </c>
      <c r="K48" s="103" t="n">
        <f aca="false">F48*G48*J48</f>
        <v>2568.1733</v>
      </c>
      <c r="M48" s="111"/>
      <c r="N48" s="111"/>
    </row>
    <row r="49" customFormat="false" ht="13.05" hidden="false" customHeight="true" outlineLevel="0" collapsed="false">
      <c r="A49" s="79" t="n">
        <v>22</v>
      </c>
      <c r="B49" s="80" t="s">
        <v>153</v>
      </c>
      <c r="C49" s="80"/>
      <c r="D49" s="80"/>
      <c r="E49" s="80"/>
      <c r="F49" s="87"/>
      <c r="G49" s="87" t="n">
        <v>5.23</v>
      </c>
      <c r="H49" s="102" t="n">
        <f aca="false">M49+(25.6-$E$9)+($D$9-0.5*$F$12-29.4)</f>
        <v>4.15000000000001</v>
      </c>
      <c r="I49" s="103" t="n">
        <f aca="false">F49*G49*H49</f>
        <v>0</v>
      </c>
      <c r="J49" s="102" t="n">
        <f aca="false">N49+(25.6-$E$15)+($D$15-0.5*$F$18-29.4)</f>
        <v>-0.75</v>
      </c>
      <c r="K49" s="103" t="n">
        <f aca="false">F49*G49*J49</f>
        <v>-0</v>
      </c>
      <c r="M49" s="109" t="n">
        <f aca="false">INDEX(O49:AA49,1,MATCH(MAX($O$64:$AA$64),$O$64:$AA$64,0))</f>
        <v>0</v>
      </c>
      <c r="N49" s="110" t="n">
        <f aca="false">INDEX(O49:AA49,1,MATCH(MAX($O$65:$AA$65),$O$65:$AA$65,0))</f>
        <v>0</v>
      </c>
      <c r="O49" s="108" t="n">
        <f aca="false">VALUES!C$61</f>
        <v>-1.1</v>
      </c>
      <c r="P49" s="108" t="n">
        <f aca="false">VALUES!D$61</f>
        <v>-1.1</v>
      </c>
      <c r="Q49" s="108" t="n">
        <f aca="false">VALUES!E$61</f>
        <v>0</v>
      </c>
      <c r="R49" s="108" t="n">
        <f aca="false">VALUES!F$61</f>
        <v>1.1</v>
      </c>
      <c r="S49" s="108" t="n">
        <f aca="false">VALUES!G$61</f>
        <v>2.2</v>
      </c>
      <c r="T49" s="108" t="n">
        <f aca="false">VALUES!H$61</f>
        <v>3.9</v>
      </c>
      <c r="U49" s="108" t="n">
        <f aca="false">VALUES!I$61</f>
        <v>5</v>
      </c>
      <c r="V49" s="108" t="n">
        <f aca="false">VALUES!J$61</f>
        <v>6.7</v>
      </c>
      <c r="W49" s="108" t="n">
        <f aca="false">VALUES!K$61</f>
        <v>7.2</v>
      </c>
      <c r="X49" s="108" t="n">
        <f aca="false">VALUES!L$61</f>
        <v>7.8</v>
      </c>
      <c r="Y49" s="108" t="n">
        <f aca="false">VALUES!M$61</f>
        <v>7.8</v>
      </c>
      <c r="Z49" s="108" t="n">
        <f aca="false">VALUES!N$61</f>
        <v>7.2</v>
      </c>
      <c r="AA49" s="108" t="n">
        <f aca="false">VALUES!O$61</f>
        <v>6.7</v>
      </c>
    </row>
    <row r="50" customFormat="false" ht="13.05" hidden="false" customHeight="true" outlineLevel="0" collapsed="false">
      <c r="A50" s="79" t="n">
        <v>23</v>
      </c>
      <c r="B50" s="82" t="s">
        <v>154</v>
      </c>
      <c r="C50" s="82"/>
      <c r="D50" s="82"/>
      <c r="E50" s="82"/>
      <c r="F50" s="87"/>
      <c r="G50" s="87"/>
      <c r="H50" s="87"/>
      <c r="I50" s="103" t="n">
        <f aca="false">F50*G50*H50</f>
        <v>0</v>
      </c>
      <c r="J50" s="87"/>
      <c r="K50" s="103" t="n">
        <f aca="false">F50*G50*J50</f>
        <v>0</v>
      </c>
      <c r="L50" s="72"/>
      <c r="M50" s="111"/>
      <c r="N50" s="111"/>
    </row>
    <row r="51" s="117" customFormat="true" ht="13.05" hidden="false" customHeight="true" outlineLevel="0" collapsed="false">
      <c r="A51" s="112" t="s">
        <v>22</v>
      </c>
      <c r="B51" s="113" t="s">
        <v>155</v>
      </c>
      <c r="C51" s="113"/>
      <c r="D51" s="113"/>
      <c r="E51" s="113"/>
      <c r="F51" s="112"/>
      <c r="G51" s="112"/>
      <c r="H51" s="112"/>
      <c r="I51" s="114" t="n">
        <f aca="false">SUM(I28:I50)</f>
        <v>16118.009808</v>
      </c>
      <c r="J51" s="112"/>
      <c r="K51" s="114" t="n">
        <f aca="false">SUM(K28:K50)</f>
        <v>8341.93756</v>
      </c>
      <c r="L51" s="115"/>
      <c r="M51" s="116"/>
      <c r="N51" s="116"/>
      <c r="AMJ51" s="71"/>
    </row>
    <row r="52" s="117" customFormat="true" ht="12.8" hidden="false" customHeight="false" outlineLevel="0" collapsed="false">
      <c r="M52" s="116"/>
      <c r="N52" s="116"/>
    </row>
    <row r="53" customFormat="false" ht="13.05" hidden="false" customHeight="true" outlineLevel="0" collapsed="false">
      <c r="A53" s="101" t="s">
        <v>156</v>
      </c>
      <c r="B53" s="72"/>
      <c r="C53" s="72"/>
      <c r="D53" s="72"/>
      <c r="E53" s="72"/>
      <c r="F53" s="118" t="s">
        <v>97</v>
      </c>
      <c r="G53" s="118"/>
      <c r="H53" s="118"/>
      <c r="I53" s="119" t="s">
        <v>107</v>
      </c>
      <c r="J53" s="119"/>
      <c r="K53" s="119"/>
      <c r="L53" s="105"/>
      <c r="M53" s="120"/>
      <c r="N53" s="121"/>
    </row>
    <row r="54" customFormat="false" ht="35.4" hidden="false" customHeight="true" outlineLevel="0" collapsed="false">
      <c r="A54" s="118" t="s">
        <v>157</v>
      </c>
      <c r="B54" s="118" t="s">
        <v>121</v>
      </c>
      <c r="C54" s="118"/>
      <c r="D54" s="118" t="s">
        <v>158</v>
      </c>
      <c r="E54" s="118" t="s">
        <v>159</v>
      </c>
      <c r="F54" s="118" t="s">
        <v>160</v>
      </c>
      <c r="G54" s="118" t="s">
        <v>161</v>
      </c>
      <c r="H54" s="118" t="s">
        <v>162</v>
      </c>
      <c r="I54" s="118" t="s">
        <v>160</v>
      </c>
      <c r="J54" s="118" t="s">
        <v>161</v>
      </c>
      <c r="K54" s="118" t="s">
        <v>162</v>
      </c>
      <c r="L54" s="122" t="s">
        <v>163</v>
      </c>
      <c r="M54" s="123" t="n">
        <f aca="false">INDEX(O54:AA54,1,MATCH(MAX($O$64:$AA$64),$O$64:$AA$64,0))</f>
        <v>8</v>
      </c>
      <c r="N54" s="123" t="n">
        <f aca="false">INDEX(O54:AA54,1,MATCH(MAX($O$65:$AA$65),$O$65:$AA$65,0))</f>
        <v>8</v>
      </c>
      <c r="O54" s="104" t="n">
        <f aca="false">VALUES!$C$21</f>
        <v>6</v>
      </c>
      <c r="P54" s="104" t="n">
        <f aca="false">VALUES!$D$21</f>
        <v>7</v>
      </c>
      <c r="Q54" s="104" t="n">
        <f aca="false">VALUES!$E$21</f>
        <v>8</v>
      </c>
      <c r="R54" s="104" t="n">
        <f aca="false">VALUES!$F$21</f>
        <v>9</v>
      </c>
      <c r="S54" s="104" t="n">
        <f aca="false">VALUES!$G$21</f>
        <v>10</v>
      </c>
      <c r="T54" s="104" t="n">
        <f aca="false">VALUES!$H$21</f>
        <v>11</v>
      </c>
      <c r="U54" s="104" t="n">
        <f aca="false">VALUES!$I$21</f>
        <v>12</v>
      </c>
      <c r="V54" s="104" t="n">
        <f aca="false">VALUES!$J$21</f>
        <v>13</v>
      </c>
      <c r="W54" s="104" t="n">
        <f aca="false">VALUES!$K$21</f>
        <v>14</v>
      </c>
      <c r="X54" s="104" t="n">
        <f aca="false">VALUES!$L$21</f>
        <v>15</v>
      </c>
      <c r="Y54" s="104" t="n">
        <f aca="false">VALUES!$M$21</f>
        <v>16</v>
      </c>
      <c r="Z54" s="104" t="n">
        <f aca="false">VALUES!$N$21</f>
        <v>17</v>
      </c>
      <c r="AA54" s="104" t="n">
        <f aca="false">VALUES!$O$21</f>
        <v>18</v>
      </c>
    </row>
    <row r="55" customFormat="false" ht="13.05" hidden="false" customHeight="true" outlineLevel="0" collapsed="false">
      <c r="A55" s="79" t="n">
        <v>1</v>
      </c>
      <c r="B55" s="124" t="s">
        <v>140</v>
      </c>
      <c r="C55" s="124"/>
      <c r="D55" s="79" t="n">
        <f aca="false">F36</f>
        <v>0</v>
      </c>
      <c r="E55" s="87" t="n">
        <v>0.7</v>
      </c>
      <c r="F55" s="102" t="n">
        <f aca="false">M55</f>
        <v>0.65</v>
      </c>
      <c r="G55" s="79" t="n">
        <f aca="false">VALUES!$D$8</f>
        <v>237</v>
      </c>
      <c r="H55" s="125" t="n">
        <f aca="false">D55*G55*E55*F55</f>
        <v>0</v>
      </c>
      <c r="I55" s="102" t="n">
        <f aca="false">N55</f>
        <v>0.65</v>
      </c>
      <c r="J55" s="79" t="n">
        <f aca="false">VALUES!$F$8</f>
        <v>101</v>
      </c>
      <c r="K55" s="103" t="n">
        <f aca="false">D55*E55*I55*J55</f>
        <v>0</v>
      </c>
      <c r="L55" s="105"/>
      <c r="M55" s="109" t="n">
        <f aca="false">INDEX(O55:AA55,1,MATCH(MAX($O$64:$AA$64),$O$64:$AA$64,0))</f>
        <v>0.65</v>
      </c>
      <c r="N55" s="106" t="n">
        <f aca="false">INDEX(O55:AA55,1,MATCH(MAX($O$65:$AA$65),$O$65:$AA$65,0))</f>
        <v>0.65</v>
      </c>
      <c r="O55" s="70" t="n">
        <f aca="false">VALUES!$C$23</f>
        <v>0.73</v>
      </c>
      <c r="P55" s="70" t="n">
        <f aca="false">VALUES!$D$23</f>
        <v>0.66</v>
      </c>
      <c r="Q55" s="70" t="n">
        <f aca="false">VALUES!$E$23</f>
        <v>0.65</v>
      </c>
      <c r="R55" s="70" t="n">
        <f aca="false">VALUES!$F$23</f>
        <v>0.73</v>
      </c>
      <c r="S55" s="70" t="n">
        <f aca="false">VALUES!$G$23</f>
        <v>0.8</v>
      </c>
      <c r="T55" s="70" t="n">
        <f aca="false">VALUES!$H$23</f>
        <v>0.86</v>
      </c>
      <c r="U55" s="70" t="n">
        <f aca="false">VALUES!$I$23</f>
        <v>0.89</v>
      </c>
      <c r="V55" s="70" t="n">
        <f aca="false">VALUES!$J$23</f>
        <v>0.89</v>
      </c>
      <c r="W55" s="70" t="n">
        <f aca="false">VALUES!$K$23</f>
        <v>0.86</v>
      </c>
      <c r="X55" s="70" t="n">
        <f aca="false">VALUES!$L$23</f>
        <v>0.82</v>
      </c>
      <c r="Y55" s="70" t="n">
        <f aca="false">VALUES!$M$23</f>
        <v>0.75</v>
      </c>
      <c r="Z55" s="70" t="n">
        <f aca="false">VALUES!$N$23</f>
        <v>0.78</v>
      </c>
      <c r="AA55" s="70" t="n">
        <f aca="false">VALUES!$O$23</f>
        <v>0.91</v>
      </c>
    </row>
    <row r="56" customFormat="false" ht="13.05" hidden="false" customHeight="true" outlineLevel="0" collapsed="false">
      <c r="A56" s="79" t="n">
        <v>2</v>
      </c>
      <c r="B56" s="124" t="s">
        <v>141</v>
      </c>
      <c r="C56" s="124"/>
      <c r="D56" s="79" t="n">
        <f aca="false">F37</f>
        <v>0</v>
      </c>
      <c r="E56" s="87" t="n">
        <v>0.7</v>
      </c>
      <c r="F56" s="102" t="n">
        <f aca="false">M56</f>
        <v>0.74</v>
      </c>
      <c r="G56" s="79" t="n">
        <f aca="false">VALUES!$D$9</f>
        <v>625</v>
      </c>
      <c r="H56" s="103" t="n">
        <f aca="false">D56*G56*E56*F56</f>
        <v>0</v>
      </c>
      <c r="I56" s="102" t="n">
        <f aca="false">N56</f>
        <v>0.74</v>
      </c>
      <c r="J56" s="79" t="n">
        <f aca="false">VALUES!$F$9</f>
        <v>199</v>
      </c>
      <c r="K56" s="103" t="n">
        <f aca="false">D56*E56*I56*J56</f>
        <v>0</v>
      </c>
      <c r="L56" s="105"/>
      <c r="M56" s="109" t="n">
        <f aca="false">INDEX(O56:AA56,1,MATCH(MAX($O$64:$AA$64),$O$64:$AA$64,0))</f>
        <v>0.74</v>
      </c>
      <c r="N56" s="109" t="n">
        <f aca="false">INDEX(O56:AA56,1,MATCH(MAX($O$65:$AA$65),$O$65:$AA$65,0))</f>
        <v>0.74</v>
      </c>
      <c r="O56" s="70" t="n">
        <f aca="false">VALUES!$C$24</f>
        <v>0.56</v>
      </c>
      <c r="P56" s="70" t="n">
        <f aca="false">VALUES!$D$24</f>
        <v>0.76</v>
      </c>
      <c r="Q56" s="70" t="n">
        <f aca="false">VALUES!$E$24</f>
        <v>0.74</v>
      </c>
      <c r="R56" s="70" t="n">
        <f aca="false">VALUES!$F$24</f>
        <v>0.58</v>
      </c>
      <c r="S56" s="70" t="n">
        <f aca="false">VALUES!$G$24</f>
        <v>0.37</v>
      </c>
      <c r="T56" s="70" t="n">
        <f aca="false">VALUES!$H$24</f>
        <v>0.29</v>
      </c>
      <c r="U56" s="70" t="n">
        <f aca="false">VALUES!$I$24</f>
        <v>0.27</v>
      </c>
      <c r="V56" s="70" t="n">
        <f aca="false">VALUES!$J$24</f>
        <v>0.26</v>
      </c>
      <c r="W56" s="70" t="n">
        <f aca="false">VALUES!$K$24</f>
        <v>0.24</v>
      </c>
      <c r="X56" s="70" t="n">
        <f aca="false">VALUES!$L$24</f>
        <v>0.22</v>
      </c>
      <c r="Y56" s="70" t="n">
        <f aca="false">VALUES!$M$24</f>
        <v>0.2</v>
      </c>
      <c r="Z56" s="70" t="n">
        <f aca="false">VALUES!$N$24</f>
        <v>0.16</v>
      </c>
      <c r="AA56" s="70" t="n">
        <f aca="false">VALUES!$O$24</f>
        <v>0.12</v>
      </c>
    </row>
    <row r="57" customFormat="false" ht="13.05" hidden="false" customHeight="true" outlineLevel="0" collapsed="false">
      <c r="A57" s="79" t="n">
        <v>3</v>
      </c>
      <c r="B57" s="124" t="s">
        <v>142</v>
      </c>
      <c r="C57" s="124"/>
      <c r="D57" s="79" t="n">
        <f aca="false">F38</f>
        <v>17.664</v>
      </c>
      <c r="E57" s="87" t="n">
        <v>0.7</v>
      </c>
      <c r="F57" s="102" t="n">
        <f aca="false">M57</f>
        <v>0.8</v>
      </c>
      <c r="G57" s="79" t="n">
        <f aca="false">VALUES!$D$10</f>
        <v>644</v>
      </c>
      <c r="H57" s="103" t="n">
        <f aca="false">D57*G57*E57*F57</f>
        <v>6370.34496</v>
      </c>
      <c r="I57" s="102" t="n">
        <f aca="false">N57</f>
        <v>0.8</v>
      </c>
      <c r="J57" s="79" t="n">
        <f aca="false">VALUES!$F$10</f>
        <v>675</v>
      </c>
      <c r="K57" s="103" t="n">
        <f aca="false">D57*E57*I57*J57</f>
        <v>6676.992</v>
      </c>
      <c r="L57" s="105"/>
      <c r="M57" s="109" t="n">
        <f aca="false">INDEX(O57:AA57,1,MATCH(MAX($O$64:$AA$64),$O$64:$AA$64,0))</f>
        <v>0.8</v>
      </c>
      <c r="N57" s="109" t="n">
        <f aca="false">INDEX(O57:AA57,1,MATCH(MAX($O$65:$AA$65),$O$65:$AA$65,0))</f>
        <v>0.8</v>
      </c>
      <c r="O57" s="70" t="n">
        <f aca="false">VALUES!$C$25</f>
        <v>0.47</v>
      </c>
      <c r="P57" s="70" t="n">
        <f aca="false">VALUES!$D$25</f>
        <v>0.72</v>
      </c>
      <c r="Q57" s="70" t="n">
        <f aca="false">VALUES!$E$25</f>
        <v>0.8</v>
      </c>
      <c r="R57" s="70" t="n">
        <f aca="false">VALUES!$F$25</f>
        <v>0.76</v>
      </c>
      <c r="S57" s="70" t="n">
        <f aca="false">VALUES!$G$25</f>
        <v>0.62</v>
      </c>
      <c r="T57" s="70" t="n">
        <f aca="false">VALUES!$H$25</f>
        <v>0.41</v>
      </c>
      <c r="U57" s="70" t="n">
        <f aca="false">VALUES!$I$25</f>
        <v>0.27</v>
      </c>
      <c r="V57" s="70" t="n">
        <f aca="false">VALUES!$J$25</f>
        <v>0.26</v>
      </c>
      <c r="W57" s="70" t="n">
        <f aca="false">VALUES!$K$25</f>
        <v>0.24</v>
      </c>
      <c r="X57" s="70" t="n">
        <f aca="false">VALUES!$L$25</f>
        <v>0.22</v>
      </c>
      <c r="Y57" s="70" t="n">
        <f aca="false">VALUES!$M$25</f>
        <v>0.2</v>
      </c>
      <c r="Z57" s="70" t="n">
        <f aca="false">VALUES!$N$25</f>
        <v>0.16</v>
      </c>
      <c r="AA57" s="70" t="n">
        <f aca="false">VALUES!$O$25</f>
        <v>0.12</v>
      </c>
    </row>
    <row r="58" customFormat="false" ht="13.05" hidden="false" customHeight="true" outlineLevel="0" collapsed="false">
      <c r="A58" s="79" t="n">
        <v>4</v>
      </c>
      <c r="B58" s="124" t="s">
        <v>143</v>
      </c>
      <c r="C58" s="124"/>
      <c r="D58" s="79" t="n">
        <f aca="false">F39</f>
        <v>0</v>
      </c>
      <c r="E58" s="87" t="n">
        <v>0.7</v>
      </c>
      <c r="F58" s="102" t="n">
        <f aca="false">M58</f>
        <v>0.74</v>
      </c>
      <c r="G58" s="79" t="n">
        <f aca="false">VALUES!$D$11</f>
        <v>284</v>
      </c>
      <c r="H58" s="103" t="n">
        <f aca="false">D58*G58*E58*F58</f>
        <v>0</v>
      </c>
      <c r="I58" s="102" t="n">
        <f aca="false">N58</f>
        <v>0.74</v>
      </c>
      <c r="J58" s="79" t="n">
        <f aca="false">VALUES!$F$11</f>
        <v>767</v>
      </c>
      <c r="K58" s="103" t="n">
        <f aca="false">D58*E58*I58*J58</f>
        <v>0</v>
      </c>
      <c r="L58" s="105"/>
      <c r="M58" s="109" t="n">
        <f aca="false">INDEX(O58:AA58,1,MATCH(MAX($O$64:$AA$64),$O$64:$AA$64,0))</f>
        <v>0.74</v>
      </c>
      <c r="N58" s="109" t="n">
        <f aca="false">INDEX(O58:AA58,1,MATCH(MAX($O$65:$AA$65),$O$65:$AA$65,0))</f>
        <v>0.74</v>
      </c>
      <c r="O58" s="70" t="n">
        <f aca="false">VALUES!$C$26</f>
        <v>0.3</v>
      </c>
      <c r="P58" s="70" t="n">
        <f aca="false">VALUES!$D$26</f>
        <v>0.57</v>
      </c>
      <c r="Q58" s="70" t="n">
        <f aca="false">VALUES!$E$26</f>
        <v>0.74</v>
      </c>
      <c r="R58" s="70" t="n">
        <f aca="false">VALUES!$F$26</f>
        <v>0.81</v>
      </c>
      <c r="S58" s="70" t="n">
        <f aca="false">VALUES!$G$26</f>
        <v>0.79</v>
      </c>
      <c r="T58" s="70" t="n">
        <f aca="false">VALUES!$H$26</f>
        <v>0.68</v>
      </c>
      <c r="U58" s="70" t="n">
        <f aca="false">VALUES!$I$26</f>
        <v>0.49</v>
      </c>
      <c r="V58" s="70" t="n">
        <f aca="false">VALUES!$J$26</f>
        <v>0.33</v>
      </c>
      <c r="W58" s="70" t="n">
        <f aca="false">VALUES!$K$26</f>
        <v>0.28</v>
      </c>
      <c r="X58" s="70" t="n">
        <f aca="false">VALUES!$L$26</f>
        <v>0.25</v>
      </c>
      <c r="Y58" s="70" t="n">
        <f aca="false">VALUES!$M$26</f>
        <v>0.22</v>
      </c>
      <c r="Z58" s="70" t="n">
        <f aca="false">VALUES!$N$26</f>
        <v>0.18</v>
      </c>
      <c r="AA58" s="70" t="n">
        <f aca="false">VALUES!$O$26</f>
        <v>0.13</v>
      </c>
    </row>
    <row r="59" customFormat="false" ht="13.05" hidden="false" customHeight="true" outlineLevel="0" collapsed="false">
      <c r="A59" s="79" t="n">
        <v>5</v>
      </c>
      <c r="B59" s="124" t="s">
        <v>144</v>
      </c>
      <c r="C59" s="124"/>
      <c r="D59" s="79" t="n">
        <f aca="false">F40</f>
        <v>0</v>
      </c>
      <c r="E59" s="87" t="n">
        <v>0.7</v>
      </c>
      <c r="F59" s="102" t="n">
        <f aca="false">M59</f>
        <v>0.23</v>
      </c>
      <c r="G59" s="79" t="n">
        <f aca="false">VALUES!$D$12</f>
        <v>126</v>
      </c>
      <c r="H59" s="103" t="n">
        <f aca="false">D59*G59*E59*F59</f>
        <v>0</v>
      </c>
      <c r="I59" s="102" t="n">
        <f aca="false">N59</f>
        <v>0.23</v>
      </c>
      <c r="J59" s="79" t="n">
        <f aca="false">VALUES!$F$12</f>
        <v>565</v>
      </c>
      <c r="K59" s="103" t="n">
        <f aca="false">D59*E59*I59*J59</f>
        <v>0</v>
      </c>
      <c r="L59" s="105"/>
      <c r="M59" s="109" t="n">
        <f aca="false">INDEX(O59:AA59,1,MATCH(MAX($O$64:$AA$64),$O$64:$AA$64,0))</f>
        <v>0.23</v>
      </c>
      <c r="N59" s="109" t="n">
        <f aca="false">INDEX(O59:AA59,1,MATCH(MAX($O$65:$AA$65),$O$65:$AA$65,0))</f>
        <v>0.23</v>
      </c>
      <c r="O59" s="70" t="n">
        <f aca="false">VALUES!$C$27</f>
        <v>0.09</v>
      </c>
      <c r="P59" s="70" t="n">
        <f aca="false">VALUES!$D$27</f>
        <v>0.16</v>
      </c>
      <c r="Q59" s="70" t="n">
        <f aca="false">VALUES!$E$27</f>
        <v>0.23</v>
      </c>
      <c r="R59" s="70" t="n">
        <f aca="false">VALUES!$F$27</f>
        <v>0.38</v>
      </c>
      <c r="S59" s="70" t="n">
        <f aca="false">VALUES!$G$27</f>
        <v>0.58</v>
      </c>
      <c r="T59" s="70" t="n">
        <f aca="false">VALUES!$H$27</f>
        <v>0.75</v>
      </c>
      <c r="U59" s="70" t="n">
        <f aca="false">VALUES!$I$27</f>
        <v>0.83</v>
      </c>
      <c r="V59" s="70" t="n">
        <f aca="false">VALUES!$J$27</f>
        <v>0.8</v>
      </c>
      <c r="W59" s="70" t="n">
        <f aca="false">VALUES!$K$27</f>
        <v>0.68</v>
      </c>
      <c r="X59" s="70" t="n">
        <f aca="false">VALUES!$L$27</f>
        <v>0.5</v>
      </c>
      <c r="Y59" s="70" t="n">
        <f aca="false">VALUES!$M$27</f>
        <v>0.35</v>
      </c>
      <c r="Z59" s="70" t="n">
        <f aca="false">VALUES!$N$27</f>
        <v>0.27</v>
      </c>
      <c r="AA59" s="70" t="n">
        <f aca="false">VALUES!$O$27</f>
        <v>0.19</v>
      </c>
    </row>
    <row r="60" customFormat="false" ht="13.05" hidden="false" customHeight="true" outlineLevel="0" collapsed="false">
      <c r="A60" s="79" t="n">
        <v>6</v>
      </c>
      <c r="B60" s="124" t="s">
        <v>145</v>
      </c>
      <c r="C60" s="124"/>
      <c r="D60" s="79" t="n">
        <f aca="false">F41</f>
        <v>0</v>
      </c>
      <c r="E60" s="87" t="n">
        <v>0.7</v>
      </c>
      <c r="F60" s="102" t="n">
        <f aca="false">M60</f>
        <v>0.14</v>
      </c>
      <c r="G60" s="79" t="n">
        <f aca="false">VALUES!$D$13</f>
        <v>284</v>
      </c>
      <c r="H60" s="103" t="n">
        <f aca="false">D60*G60*E60*F60</f>
        <v>0</v>
      </c>
      <c r="I60" s="102" t="n">
        <f aca="false">N60</f>
        <v>0.14</v>
      </c>
      <c r="J60" s="79" t="n">
        <f aca="false">VALUES!$F$13</f>
        <v>767</v>
      </c>
      <c r="K60" s="103" t="n">
        <f aca="false">D60*E60*I60*J60</f>
        <v>0</v>
      </c>
      <c r="L60" s="105"/>
      <c r="M60" s="109" t="n">
        <f aca="false">INDEX(O60:AA60,1,MATCH(MAX($O$64:$AA$64),$O$64:$AA$64,0))</f>
        <v>0.14</v>
      </c>
      <c r="N60" s="109" t="n">
        <f aca="false">INDEX(O60:AA60,1,MATCH(MAX($O$65:$AA$65),$O$65:$AA$65,0))</f>
        <v>0.14</v>
      </c>
      <c r="O60" s="70" t="n">
        <f aca="false">VALUES!$C$28</f>
        <v>0.07</v>
      </c>
      <c r="P60" s="70" t="n">
        <f aca="false">VALUES!$D$28</f>
        <v>0.11</v>
      </c>
      <c r="Q60" s="70" t="n">
        <f aca="false">VALUES!$E$28</f>
        <v>0.14</v>
      </c>
      <c r="R60" s="70" t="n">
        <f aca="false">VALUES!$F$28</f>
        <v>0.16</v>
      </c>
      <c r="S60" s="70" t="n">
        <f aca="false">VALUES!$G$28</f>
        <v>0.19</v>
      </c>
      <c r="T60" s="70" t="n">
        <f aca="false">VALUES!$H$28</f>
        <v>0.22</v>
      </c>
      <c r="U60" s="70" t="n">
        <f aca="false">VALUES!$I$28</f>
        <v>0.38</v>
      </c>
      <c r="V60" s="70" t="n">
        <f aca="false">VALUES!$J$28</f>
        <v>0.59</v>
      </c>
      <c r="W60" s="70" t="n">
        <f aca="false">VALUES!$K$28</f>
        <v>0.75</v>
      </c>
      <c r="X60" s="70" t="n">
        <f aca="false">VALUES!$L$28</f>
        <v>0.83</v>
      </c>
      <c r="Y60" s="70" t="n">
        <f aca="false">VALUES!$M$28</f>
        <v>0.81</v>
      </c>
      <c r="Z60" s="70" t="n">
        <f aca="false">VALUES!$N$28</f>
        <v>0.69</v>
      </c>
      <c r="AA60" s="70" t="n">
        <f aca="false">VALUES!$O$28</f>
        <v>0.45</v>
      </c>
    </row>
    <row r="61" customFormat="false" ht="13.05" hidden="false" customHeight="true" outlineLevel="0" collapsed="false">
      <c r="A61" s="79" t="n">
        <v>7</v>
      </c>
      <c r="B61" s="124" t="s">
        <v>146</v>
      </c>
      <c r="C61" s="124"/>
      <c r="D61" s="79" t="n">
        <f aca="false">F42</f>
        <v>0</v>
      </c>
      <c r="E61" s="87" t="n">
        <v>0.7</v>
      </c>
      <c r="F61" s="102" t="n">
        <f aca="false">M61</f>
        <v>0.11</v>
      </c>
      <c r="G61" s="79" t="n">
        <f aca="false">VALUES!$D$14</f>
        <v>644</v>
      </c>
      <c r="H61" s="103" t="n">
        <f aca="false">D61*G61*E61*F61</f>
        <v>0</v>
      </c>
      <c r="I61" s="102" t="n">
        <f aca="false">N61</f>
        <v>0.11</v>
      </c>
      <c r="J61" s="79" t="n">
        <f aca="false">VALUES!$F$14</f>
        <v>675</v>
      </c>
      <c r="K61" s="103" t="n">
        <f aca="false">D61*E61*I61*J61</f>
        <v>0</v>
      </c>
      <c r="L61" s="105"/>
      <c r="M61" s="109" t="n">
        <f aca="false">INDEX(O61:AA61,1,MATCH(MAX($O$64:$AA$64),$O$64:$AA$64,0))</f>
        <v>0.11</v>
      </c>
      <c r="N61" s="109" t="n">
        <f aca="false">INDEX(O61:AA61,1,MATCH(MAX($O$65:$AA$65),$O$65:$AA$65,0))</f>
        <v>0.11</v>
      </c>
      <c r="O61" s="70" t="n">
        <f aca="false">VALUES!$C$29</f>
        <v>0.06</v>
      </c>
      <c r="P61" s="70" t="n">
        <f aca="false">VALUES!$D$29</f>
        <v>0.09</v>
      </c>
      <c r="Q61" s="70" t="n">
        <f aca="false">VALUES!$E$29</f>
        <v>0.11</v>
      </c>
      <c r="R61" s="70" t="n">
        <f aca="false">VALUES!$F$29</f>
        <v>0.13</v>
      </c>
      <c r="S61" s="70" t="n">
        <f aca="false">VALUES!$G$29</f>
        <v>0.15</v>
      </c>
      <c r="T61" s="70" t="n">
        <f aca="false">VALUES!$H$29</f>
        <v>0.16</v>
      </c>
      <c r="U61" s="70" t="n">
        <f aca="false">VALUES!$I$29</f>
        <v>0.17</v>
      </c>
      <c r="V61" s="70" t="n">
        <f aca="false">VALUES!$J$29</f>
        <v>0.31</v>
      </c>
      <c r="W61" s="70" t="n">
        <f aca="false">VALUES!$K$29</f>
        <v>0.53</v>
      </c>
      <c r="X61" s="70" t="n">
        <f aca="false">VALUES!$L$29</f>
        <v>0.72</v>
      </c>
      <c r="Y61" s="70" t="n">
        <f aca="false">VALUES!$M$29</f>
        <v>0.82</v>
      </c>
      <c r="Z61" s="70" t="n">
        <f aca="false">VALUES!$N$29</f>
        <v>0.81</v>
      </c>
      <c r="AA61" s="70" t="n">
        <f aca="false">VALUES!$O$29</f>
        <v>0.61</v>
      </c>
    </row>
    <row r="62" customFormat="false" ht="13.05" hidden="false" customHeight="true" outlineLevel="0" collapsed="false">
      <c r="A62" s="79" t="n">
        <v>8</v>
      </c>
      <c r="B62" s="124" t="s">
        <v>147</v>
      </c>
      <c r="C62" s="124"/>
      <c r="D62" s="79" t="n">
        <f aca="false">F43</f>
        <v>0</v>
      </c>
      <c r="E62" s="87" t="n">
        <v>0.7</v>
      </c>
      <c r="F62" s="102" t="n">
        <f aca="false">M62</f>
        <v>0.14</v>
      </c>
      <c r="G62" s="79" t="n">
        <f aca="false">VALUES!$D$15</f>
        <v>625</v>
      </c>
      <c r="H62" s="103" t="n">
        <f aca="false">D62*G62*E62*F62</f>
        <v>0</v>
      </c>
      <c r="I62" s="102" t="n">
        <f aca="false">N62</f>
        <v>0.14</v>
      </c>
      <c r="J62" s="79" t="n">
        <f aca="false">VALUES!$F$15</f>
        <v>199</v>
      </c>
      <c r="K62" s="103" t="n">
        <f aca="false">D62*E62*I62*J62</f>
        <v>0</v>
      </c>
      <c r="L62" s="105"/>
      <c r="M62" s="109" t="n">
        <f aca="false">INDEX(O62:AA62,1,MATCH(MAX($O$64:$AA$64),$O$64:$AA$64,0))</f>
        <v>0.14</v>
      </c>
      <c r="N62" s="109" t="n">
        <f aca="false">INDEX(O62:AA62,1,MATCH(MAX($O$65:$AA$65),$O$65:$AA$65,0))</f>
        <v>0.14</v>
      </c>
      <c r="O62" s="70" t="n">
        <f aca="false">VALUES!$C$30</f>
        <v>0.07</v>
      </c>
      <c r="P62" s="70" t="n">
        <f aca="false">VALUES!$D$30</f>
        <v>0.11</v>
      </c>
      <c r="Q62" s="70" t="n">
        <f aca="false">VALUES!$E$30</f>
        <v>0.14</v>
      </c>
      <c r="R62" s="70" t="n">
        <f aca="false">VALUES!$F$30</f>
        <v>0.17</v>
      </c>
      <c r="S62" s="70" t="n">
        <f aca="false">VALUES!$G$30</f>
        <v>0.19</v>
      </c>
      <c r="T62" s="70" t="n">
        <f aca="false">VALUES!$H$30</f>
        <v>0.2</v>
      </c>
      <c r="U62" s="70" t="n">
        <f aca="false">VALUES!$I$30</f>
        <v>0.21</v>
      </c>
      <c r="V62" s="70" t="n">
        <f aca="false">VALUES!$J$30</f>
        <v>0.22</v>
      </c>
      <c r="W62" s="70" t="n">
        <f aca="false">VALUES!$K$30</f>
        <v>0.3</v>
      </c>
      <c r="X62" s="70" t="n">
        <f aca="false">VALUES!$L$30</f>
        <v>0.52</v>
      </c>
      <c r="Y62" s="70" t="n">
        <f aca="false">VALUES!$M$30</f>
        <v>0.73</v>
      </c>
      <c r="Z62" s="70" t="n">
        <f aca="false">VALUES!$N$30</f>
        <v>0.82</v>
      </c>
      <c r="AA62" s="70" t="n">
        <f aca="false">VALUES!$O$30</f>
        <v>0.69</v>
      </c>
    </row>
    <row r="63" customFormat="false" ht="13.05" hidden="false" customHeight="true" outlineLevel="0" collapsed="false">
      <c r="A63" s="79" t="n">
        <v>9</v>
      </c>
      <c r="B63" s="124" t="s">
        <v>164</v>
      </c>
      <c r="C63" s="124"/>
      <c r="D63" s="79" t="n">
        <f aca="false">F49</f>
        <v>0</v>
      </c>
      <c r="E63" s="87" t="n">
        <v>0.6</v>
      </c>
      <c r="F63" s="102" t="n">
        <f aca="false">M63</f>
        <v>0.44</v>
      </c>
      <c r="G63" s="79" t="n">
        <f aca="false">VALUES!$D$16</f>
        <v>864</v>
      </c>
      <c r="H63" s="103" t="n">
        <f aca="false">D63*G63*E63*F63</f>
        <v>0</v>
      </c>
      <c r="I63" s="102" t="n">
        <f aca="false">N63</f>
        <v>0.44</v>
      </c>
      <c r="J63" s="79" t="n">
        <f aca="false">VALUES!$F$16</f>
        <v>820</v>
      </c>
      <c r="K63" s="103" t="n">
        <f aca="false">D63*E63*I63*J63</f>
        <v>0</v>
      </c>
      <c r="L63" s="105"/>
      <c r="M63" s="109" t="n">
        <f aca="false">INDEX(O63:AA63,1,MATCH(MAX($O$64:$AA$64),$O$64:$AA$64,0))</f>
        <v>0.44</v>
      </c>
      <c r="N63" s="109" t="n">
        <f aca="false">INDEX(O63:AA63,1,MATCH(MAX($O$65:$AA$65),$O$65:$AA$65,0))</f>
        <v>0.44</v>
      </c>
      <c r="O63" s="70" t="n">
        <f aca="false">VALUES!$C$31</f>
        <v>0.12</v>
      </c>
      <c r="P63" s="70" t="n">
        <f aca="false">VALUES!$D$31</f>
        <v>0.27</v>
      </c>
      <c r="Q63" s="70" t="n">
        <f aca="false">VALUES!$E$31</f>
        <v>0.44</v>
      </c>
      <c r="R63" s="70" t="n">
        <f aca="false">VALUES!$F$31</f>
        <v>0.59</v>
      </c>
      <c r="S63" s="70" t="n">
        <f aca="false">VALUES!$G$31</f>
        <v>0.72</v>
      </c>
      <c r="T63" s="70" t="n">
        <f aca="false">VALUES!$H$31</f>
        <v>0.81</v>
      </c>
      <c r="U63" s="70" t="n">
        <f aca="false">VALUES!$I$31</f>
        <v>0.85</v>
      </c>
      <c r="V63" s="70" t="n">
        <f aca="false">VALUES!$J$31</f>
        <v>0.85</v>
      </c>
      <c r="W63" s="70" t="n">
        <f aca="false">VALUES!$K$31</f>
        <v>0.81</v>
      </c>
      <c r="X63" s="70" t="n">
        <f aca="false">VALUES!$L$31</f>
        <v>0.71</v>
      </c>
      <c r="Y63" s="70" t="n">
        <f aca="false">VALUES!$M$31</f>
        <v>0.58</v>
      </c>
      <c r="Z63" s="70" t="n">
        <f aca="false">VALUES!$N$31</f>
        <v>0.42</v>
      </c>
      <c r="AA63" s="70" t="n">
        <f aca="false">VALUES!$O$31</f>
        <v>0.25</v>
      </c>
    </row>
    <row r="64" customFormat="false" ht="13.05" hidden="false" customHeight="true" outlineLevel="0" collapsed="false">
      <c r="A64" s="79" t="n">
        <v>10</v>
      </c>
      <c r="B64" s="124" t="s">
        <v>154</v>
      </c>
      <c r="C64" s="124"/>
      <c r="D64" s="87"/>
      <c r="E64" s="87"/>
      <c r="F64" s="87"/>
      <c r="G64" s="87"/>
      <c r="H64" s="103" t="n">
        <f aca="false">D64*G64*E64*F64</f>
        <v>0</v>
      </c>
      <c r="I64" s="87"/>
      <c r="J64" s="87"/>
      <c r="K64" s="103" t="n">
        <f aca="false">D64*E64*I64*J64</f>
        <v>0</v>
      </c>
      <c r="L64" s="105"/>
      <c r="M64" s="123" t="n">
        <f aca="false">INDEX(O64:AA64,1,MATCH(MAX($O$64:$AA$64),$O$64:$AA$64,0))</f>
        <v>6370.34496</v>
      </c>
      <c r="N64" s="121"/>
      <c r="O64" s="126" t="n">
        <f aca="false">SUMPRODUCT(O55:O63, $E$55:$E$63, $D$55:$D$63, $G$55:$G$63)</f>
        <v>3742.577664</v>
      </c>
      <c r="P64" s="126" t="n">
        <f aca="false">SUMPRODUCT(P55:P63, $E$55:$E$63, $D$55:$D$63, $G$55:$G$63)</f>
        <v>5733.310464</v>
      </c>
      <c r="Q64" s="126" t="n">
        <f aca="false">SUMPRODUCT(Q55:Q63, $E$55:$E$63, $D$55:$D$63, $G$55:$G$63)</f>
        <v>6370.34496</v>
      </c>
      <c r="R64" s="126" t="n">
        <f aca="false">SUMPRODUCT(R55:R63, $E$55:$E$63, $D$55:$D$63, $G$55:$G$63)</f>
        <v>6051.827712</v>
      </c>
      <c r="S64" s="126" t="n">
        <f aca="false">SUMPRODUCT(S55:S63, $E$55:$E$63, $D$55:$D$63, $G$55:$G$63)</f>
        <v>4937.017344</v>
      </c>
      <c r="T64" s="126" t="n">
        <f aca="false">SUMPRODUCT(T55:T63, $E$55:$E$63, $D$55:$D$63, $G$55:$G$63)</f>
        <v>3264.801792</v>
      </c>
      <c r="U64" s="126" t="n">
        <f aca="false">SUMPRODUCT(U55:U63, $E$55:$E$63, $D$55:$D$63, $G$55:$G$63)</f>
        <v>2149.991424</v>
      </c>
      <c r="V64" s="126" t="n">
        <f aca="false">SUMPRODUCT(V55:V63, $E$55:$E$63, $D$55:$D$63, $G$55:$G$63)</f>
        <v>2070.362112</v>
      </c>
      <c r="W64" s="126" t="n">
        <f aca="false">SUMPRODUCT(W55:W63, $E$55:$E$63, $D$55:$D$63, $G$55:$G$63)</f>
        <v>1911.103488</v>
      </c>
      <c r="X64" s="126" t="n">
        <f aca="false">SUMPRODUCT(X55:X63, $E$55:$E$63, $D$55:$D$63, $G$55:$G$63)</f>
        <v>1751.844864</v>
      </c>
      <c r="Y64" s="126" t="n">
        <f aca="false">SUMPRODUCT(Y55:Y63, $E$55:$E$63, $D$55:$D$63, $G$55:$G$63)</f>
        <v>1592.58624</v>
      </c>
      <c r="Z64" s="126" t="n">
        <f aca="false">SUMPRODUCT(Z55:Z63, $E$55:$E$63, $D$55:$D$63, $G$55:$G$63)</f>
        <v>1274.068992</v>
      </c>
      <c r="AA64" s="126" t="n">
        <f aca="false">SUMPRODUCT(AA55:AA63, $E$55:$E$63, $D$55:$D$63, $G$55:$G$63)</f>
        <v>955.551744</v>
      </c>
    </row>
    <row r="65" s="117" customFormat="true" ht="24.25" hidden="false" customHeight="true" outlineLevel="0" collapsed="false">
      <c r="A65" s="112" t="s">
        <v>4</v>
      </c>
      <c r="B65" s="127" t="s">
        <v>165</v>
      </c>
      <c r="C65" s="127"/>
      <c r="D65" s="112"/>
      <c r="E65" s="128"/>
      <c r="F65" s="112"/>
      <c r="G65" s="112"/>
      <c r="H65" s="114" t="n">
        <f aca="false">SUM(H55:H64)</f>
        <v>6370.34496</v>
      </c>
      <c r="I65" s="112"/>
      <c r="J65" s="112"/>
      <c r="K65" s="114" t="n">
        <f aca="false">SUM(K55:K64)</f>
        <v>6676.992</v>
      </c>
      <c r="L65" s="105"/>
      <c r="M65" s="115"/>
      <c r="N65" s="123" t="n">
        <f aca="false">INDEX(O65:AA65,1,MATCH(MAX($O$65:$AA$65),$O$65:$AA$65,0))</f>
        <v>6676.992</v>
      </c>
      <c r="O65" s="126" t="n">
        <f aca="false">SUMPRODUCT(O55:O63, $E$55:$E$63, $D$55:$D$63, $J$55:$J$63)</f>
        <v>3922.7328</v>
      </c>
      <c r="P65" s="126" t="n">
        <f aca="false">SUMPRODUCT(P55:P63, $E$55:$E$63, $D$55:$D$63, $J$55:$J$63)</f>
        <v>6009.2928</v>
      </c>
      <c r="Q65" s="126" t="n">
        <f aca="false">SUMPRODUCT(Q55:Q63, $E$55:$E$63, $D$55:$D$63, $J$55:$J$63)</f>
        <v>6676.992</v>
      </c>
      <c r="R65" s="126" t="n">
        <f aca="false">SUMPRODUCT(R55:R63, $E$55:$E$63, $D$55:$D$63, $J$55:$J$63)</f>
        <v>6343.1424</v>
      </c>
      <c r="S65" s="126" t="n">
        <f aca="false">SUMPRODUCT(S55:S63, $E$55:$E$63, $D$55:$D$63, $J$55:$J$63)</f>
        <v>5174.6688</v>
      </c>
      <c r="T65" s="126" t="n">
        <f aca="false">SUMPRODUCT(T55:T63, $E$55:$E$63, $D$55:$D$63, $J$55:$J$63)</f>
        <v>3421.9584</v>
      </c>
      <c r="U65" s="126" t="n">
        <f aca="false">SUMPRODUCT(U55:U63, $E$55:$E$63, $D$55:$D$63, $J$55:$J$63)</f>
        <v>2253.4848</v>
      </c>
      <c r="V65" s="126" t="n">
        <f aca="false">SUMPRODUCT(V55:V63, $E$55:$E$63, $D$55:$D$63, $J$55:$J$63)</f>
        <v>2170.0224</v>
      </c>
      <c r="W65" s="126" t="n">
        <f aca="false">SUMPRODUCT(W55:W63, $E$55:$E$63, $D$55:$D$63, $J$55:$J$63)</f>
        <v>2003.0976</v>
      </c>
      <c r="X65" s="126" t="n">
        <f aca="false">SUMPRODUCT(X55:X63, $E$55:$E$63, $D$55:$D$63, $J$55:$J$63)</f>
        <v>1836.1728</v>
      </c>
      <c r="Y65" s="126" t="n">
        <f aca="false">SUMPRODUCT(Y55:Y63, $E$55:$E$63, $D$55:$D$63, $J$55:$J$63)</f>
        <v>1669.248</v>
      </c>
      <c r="Z65" s="126" t="n">
        <f aca="false">SUMPRODUCT(Z55:Z63, $E$55:$E$63, $D$55:$D$63, $J$55:$J$63)</f>
        <v>1335.3984</v>
      </c>
      <c r="AA65" s="126" t="n">
        <f aca="false">SUMPRODUCT(AA55:AA63, $E$55:$E$63, $D$55:$D$63, $J$55:$J$63)</f>
        <v>1001.5488</v>
      </c>
      <c r="AMJ65" s="71"/>
    </row>
    <row r="66" s="117" customFormat="true" ht="12.8" hidden="false" customHeight="false" outlineLevel="0" collapsed="false"/>
    <row r="67" customFormat="false" ht="13.05" hidden="false" customHeight="false" outlineLevel="0" collapsed="false">
      <c r="A67" s="101" t="s">
        <v>166</v>
      </c>
      <c r="B67" s="76"/>
      <c r="C67" s="76"/>
      <c r="D67" s="76"/>
      <c r="E67" s="76"/>
      <c r="F67" s="79" t="s">
        <v>167</v>
      </c>
      <c r="G67" s="79" t="s">
        <v>168</v>
      </c>
      <c r="H67" s="79" t="s">
        <v>169</v>
      </c>
      <c r="L67" s="72"/>
      <c r="M67" s="72"/>
      <c r="N67" s="72"/>
    </row>
    <row r="68" customFormat="false" ht="12.8" hidden="false" customHeight="false" outlineLevel="0" collapsed="false">
      <c r="A68" s="79" t="n">
        <v>1</v>
      </c>
      <c r="B68" s="79" t="s">
        <v>170</v>
      </c>
      <c r="C68" s="87" t="n">
        <v>12</v>
      </c>
      <c r="D68" s="79" t="s">
        <v>171</v>
      </c>
      <c r="E68" s="87" t="n">
        <v>60</v>
      </c>
      <c r="F68" s="87" t="n">
        <v>1</v>
      </c>
      <c r="G68" s="103" t="n">
        <f aca="false">C68*E68*F68</f>
        <v>720</v>
      </c>
      <c r="H68" s="129"/>
      <c r="L68" s="72"/>
      <c r="M68" s="72"/>
      <c r="N68" s="72"/>
    </row>
    <row r="69" customFormat="false" ht="12.8" hidden="false" customHeight="false" outlineLevel="0" collapsed="false">
      <c r="A69" s="79" t="n">
        <v>2</v>
      </c>
      <c r="B69" s="79" t="s">
        <v>170</v>
      </c>
      <c r="C69" s="87" t="n">
        <v>12</v>
      </c>
      <c r="D69" s="79" t="s">
        <v>171</v>
      </c>
      <c r="E69" s="87" t="n">
        <v>70</v>
      </c>
      <c r="F69" s="80"/>
      <c r="G69" s="129"/>
      <c r="H69" s="103" t="n">
        <f aca="false">C69*E69</f>
        <v>840</v>
      </c>
      <c r="L69" s="72"/>
      <c r="M69" s="72"/>
      <c r="N69" s="72"/>
    </row>
    <row r="70" customFormat="false" ht="13.05" hidden="false" customHeight="true" outlineLevel="0" collapsed="false">
      <c r="A70" s="112" t="s">
        <v>46</v>
      </c>
      <c r="B70" s="127" t="s">
        <v>172</v>
      </c>
      <c r="C70" s="127"/>
      <c r="D70" s="127"/>
      <c r="E70" s="127"/>
      <c r="F70" s="127"/>
      <c r="G70" s="114" t="n">
        <f aca="false">SUM(G68:G69)</f>
        <v>720</v>
      </c>
      <c r="H70" s="114" t="n">
        <f aca="false">SUM(H68:H69)</f>
        <v>840</v>
      </c>
      <c r="L70" s="72"/>
      <c r="M70" s="72"/>
      <c r="N70" s="72"/>
    </row>
    <row r="71" s="117" customFormat="true" ht="12.8" hidden="false" customHeight="false" outlineLevel="0" collapsed="false"/>
    <row r="72" customFormat="false" ht="35.4" hidden="false" customHeight="false" outlineLevel="0" collapsed="false">
      <c r="A72" s="101" t="s">
        <v>173</v>
      </c>
      <c r="B72" s="101"/>
      <c r="C72" s="101"/>
      <c r="D72" s="101"/>
      <c r="E72" s="101"/>
      <c r="F72" s="79" t="s">
        <v>174</v>
      </c>
      <c r="G72" s="79" t="s">
        <v>167</v>
      </c>
      <c r="H72" s="79" t="s">
        <v>168</v>
      </c>
      <c r="I72" s="79" t="s">
        <v>169</v>
      </c>
      <c r="L72" s="72"/>
      <c r="M72" s="72"/>
      <c r="N72" s="72"/>
    </row>
    <row r="73" customFormat="false" ht="12.8" hidden="false" customHeight="false" outlineLevel="0" collapsed="false">
      <c r="A73" s="79" t="n">
        <v>1</v>
      </c>
      <c r="B73" s="80" t="s">
        <v>175</v>
      </c>
      <c r="C73" s="87"/>
      <c r="D73" s="79" t="s">
        <v>171</v>
      </c>
      <c r="E73" s="87" t="n">
        <v>20</v>
      </c>
      <c r="F73" s="87" t="n">
        <v>1</v>
      </c>
      <c r="G73" s="87" t="n">
        <v>1</v>
      </c>
      <c r="H73" s="103" t="n">
        <f aca="false">C73*E73*F73*G73</f>
        <v>0</v>
      </c>
      <c r="I73" s="129"/>
      <c r="L73" s="72"/>
      <c r="M73" s="72"/>
      <c r="N73" s="72"/>
    </row>
    <row r="74" customFormat="false" ht="13.05" hidden="false" customHeight="false" outlineLevel="0" collapsed="false">
      <c r="A74" s="79" t="n">
        <v>2</v>
      </c>
      <c r="B74" s="82" t="s">
        <v>176</v>
      </c>
      <c r="C74" s="87"/>
      <c r="D74" s="79" t="s">
        <v>171</v>
      </c>
      <c r="E74" s="87" t="n">
        <v>100</v>
      </c>
      <c r="F74" s="87" t="n">
        <v>0.4</v>
      </c>
      <c r="G74" s="87" t="n">
        <v>1</v>
      </c>
      <c r="H74" s="103" t="n">
        <f aca="false">C74*E74*F74*G74</f>
        <v>0</v>
      </c>
      <c r="I74" s="129"/>
      <c r="L74" s="72"/>
      <c r="M74" s="72"/>
      <c r="N74" s="72"/>
    </row>
    <row r="75" customFormat="false" ht="13.05" hidden="false" customHeight="false" outlineLevel="0" collapsed="false">
      <c r="A75" s="79" t="n">
        <v>3</v>
      </c>
      <c r="B75" s="82" t="s">
        <v>177</v>
      </c>
      <c r="C75" s="87"/>
      <c r="D75" s="79" t="s">
        <v>171</v>
      </c>
      <c r="E75" s="87" t="n">
        <v>1000</v>
      </c>
      <c r="F75" s="87" t="n">
        <v>0.4</v>
      </c>
      <c r="G75" s="87" t="n">
        <v>1</v>
      </c>
      <c r="H75" s="103" t="n">
        <f aca="false">C75*E75*F75*G75</f>
        <v>0</v>
      </c>
      <c r="I75" s="129"/>
      <c r="L75" s="72"/>
      <c r="M75" s="72"/>
      <c r="N75" s="72"/>
    </row>
    <row r="76" customFormat="false" ht="23.85" hidden="false" customHeight="false" outlineLevel="0" collapsed="false">
      <c r="A76" s="79" t="n">
        <v>4</v>
      </c>
      <c r="B76" s="82" t="s">
        <v>178</v>
      </c>
      <c r="C76" s="87"/>
      <c r="D76" s="87"/>
      <c r="E76" s="87"/>
      <c r="F76" s="87" t="n">
        <v>1</v>
      </c>
      <c r="G76" s="87" t="n">
        <v>1</v>
      </c>
      <c r="H76" s="103" t="n">
        <f aca="false">SUM(C76+D76+E76)*F76*G76</f>
        <v>0</v>
      </c>
      <c r="I76" s="129"/>
      <c r="L76" s="72"/>
      <c r="M76" s="72"/>
      <c r="N76" s="72"/>
    </row>
    <row r="77" customFormat="false" ht="23.85" hidden="false" customHeight="false" outlineLevel="0" collapsed="false">
      <c r="A77" s="79" t="n">
        <v>5</v>
      </c>
      <c r="B77" s="82" t="s">
        <v>179</v>
      </c>
      <c r="C77" s="87" t="n">
        <v>5</v>
      </c>
      <c r="D77" s="79" t="s">
        <v>171</v>
      </c>
      <c r="E77" s="87" t="n">
        <f aca="false">B85</f>
        <v>151.9</v>
      </c>
      <c r="F77" s="87" t="n">
        <v>1</v>
      </c>
      <c r="G77" s="87" t="n">
        <v>1</v>
      </c>
      <c r="H77" s="103" t="n">
        <f aca="false">C77*E77*F77*G77</f>
        <v>759.5</v>
      </c>
      <c r="I77" s="129"/>
      <c r="L77" s="72"/>
      <c r="M77" s="72"/>
      <c r="N77" s="72"/>
    </row>
    <row r="78" customFormat="false" ht="23.85" hidden="false" customHeight="false" outlineLevel="0" collapsed="false">
      <c r="A78" s="79" t="n">
        <v>6</v>
      </c>
      <c r="B78" s="82" t="s">
        <v>180</v>
      </c>
      <c r="C78" s="87" t="n">
        <v>50</v>
      </c>
      <c r="D78" s="79" t="s">
        <v>171</v>
      </c>
      <c r="E78" s="87" t="n">
        <f aca="false">B85</f>
        <v>151.9</v>
      </c>
      <c r="F78" s="87" t="n">
        <v>1</v>
      </c>
      <c r="G78" s="87" t="n">
        <v>1</v>
      </c>
      <c r="H78" s="103" t="n">
        <f aca="false">C78*E78*F78*G78</f>
        <v>7595</v>
      </c>
      <c r="I78" s="129"/>
      <c r="L78" s="72"/>
      <c r="M78" s="72"/>
      <c r="N78" s="72"/>
    </row>
    <row r="79" customFormat="false" ht="13.05" hidden="false" customHeight="false" outlineLevel="0" collapsed="false">
      <c r="A79" s="79" t="n">
        <v>7</v>
      </c>
      <c r="B79" s="80" t="s">
        <v>181</v>
      </c>
      <c r="C79" s="87"/>
      <c r="D79" s="87"/>
      <c r="E79" s="87"/>
      <c r="F79" s="87" t="n">
        <v>1</v>
      </c>
      <c r="G79" s="87" t="n">
        <v>1</v>
      </c>
      <c r="H79" s="103" t="n">
        <f aca="false">SUM(C79+D79+E79)*F79*G79</f>
        <v>0</v>
      </c>
      <c r="I79" s="129"/>
      <c r="J79" s="105"/>
      <c r="K79" s="105"/>
      <c r="L79" s="89"/>
      <c r="M79" s="89"/>
      <c r="N79" s="72"/>
    </row>
    <row r="80" customFormat="false" ht="13.05" hidden="false" customHeight="false" outlineLevel="0" collapsed="false">
      <c r="A80" s="79" t="n">
        <v>8</v>
      </c>
      <c r="B80" s="80" t="s">
        <v>182</v>
      </c>
      <c r="C80" s="87"/>
      <c r="D80" s="87"/>
      <c r="E80" s="87"/>
      <c r="F80" s="87" t="n">
        <v>1</v>
      </c>
      <c r="G80" s="80"/>
      <c r="H80" s="129"/>
      <c r="I80" s="103" t="n">
        <f aca="false">SUM(C80+D80+E80)*F80</f>
        <v>0</v>
      </c>
      <c r="J80" s="105"/>
      <c r="K80" s="105"/>
      <c r="L80" s="89"/>
      <c r="M80" s="89"/>
      <c r="N80" s="72"/>
    </row>
    <row r="81" customFormat="false" ht="13.05" hidden="false" customHeight="true" outlineLevel="0" collapsed="false">
      <c r="A81" s="112" t="s">
        <v>183</v>
      </c>
      <c r="B81" s="127" t="s">
        <v>184</v>
      </c>
      <c r="C81" s="127"/>
      <c r="D81" s="127"/>
      <c r="E81" s="127"/>
      <c r="F81" s="127"/>
      <c r="G81" s="127"/>
      <c r="H81" s="114" t="n">
        <f aca="false">SUM(H73:H80)</f>
        <v>8354.5</v>
      </c>
      <c r="I81" s="114" t="n">
        <f aca="false">SUM(I73:I80)</f>
        <v>0</v>
      </c>
      <c r="L81" s="72"/>
      <c r="M81" s="72"/>
      <c r="N81" s="72"/>
    </row>
    <row r="82" s="117" customFormat="true" ht="12.8" hidden="false" customHeight="false" outlineLevel="0" collapsed="false"/>
    <row r="83" customFormat="false" ht="13.05" hidden="false" customHeight="true" outlineLevel="0" collapsed="false">
      <c r="A83" s="101" t="s">
        <v>185</v>
      </c>
      <c r="B83" s="88"/>
      <c r="C83" s="105"/>
      <c r="D83" s="105"/>
      <c r="E83" s="105"/>
      <c r="F83" s="88"/>
      <c r="G83" s="88"/>
      <c r="H83" s="118" t="s">
        <v>97</v>
      </c>
      <c r="I83" s="118"/>
      <c r="J83" s="118" t="s">
        <v>107</v>
      </c>
      <c r="K83" s="118"/>
      <c r="L83" s="72"/>
      <c r="M83" s="72"/>
      <c r="N83" s="72"/>
    </row>
    <row r="84" customFormat="false" ht="13.05" hidden="false" customHeight="false" outlineLevel="0" collapsed="false">
      <c r="A84" s="89"/>
      <c r="B84" s="79" t="s">
        <v>186</v>
      </c>
      <c r="C84" s="79" t="s">
        <v>187</v>
      </c>
      <c r="D84" s="79" t="s">
        <v>188</v>
      </c>
      <c r="E84" s="119"/>
      <c r="F84" s="130" t="s">
        <v>7</v>
      </c>
      <c r="G84" s="130" t="s">
        <v>7</v>
      </c>
      <c r="H84" s="79" t="s">
        <v>168</v>
      </c>
      <c r="I84" s="79" t="s">
        <v>169</v>
      </c>
      <c r="J84" s="79" t="s">
        <v>168</v>
      </c>
      <c r="K84" s="79" t="s">
        <v>169</v>
      </c>
      <c r="L84" s="72"/>
      <c r="M84" s="72"/>
      <c r="N84" s="72"/>
    </row>
    <row r="85" customFormat="false" ht="12.8" hidden="false" customHeight="false" outlineLevel="0" collapsed="false">
      <c r="A85" s="79" t="n">
        <v>1</v>
      </c>
      <c r="B85" s="87" t="n">
        <f aca="false">12.8*10.5+5*3.5</f>
        <v>151.9</v>
      </c>
      <c r="C85" s="87" t="n">
        <v>4.6</v>
      </c>
      <c r="D85" s="87" t="n">
        <v>0</v>
      </c>
      <c r="E85" s="119" t="s">
        <v>189</v>
      </c>
      <c r="F85" s="87"/>
      <c r="G85" s="131" t="n">
        <f aca="false">F85 + D85*B85*C85</f>
        <v>0</v>
      </c>
      <c r="H85" s="103" t="n">
        <f aca="false">1230*(G85/3600)*($D$9-$E$9)</f>
        <v>0</v>
      </c>
      <c r="I85" s="103" t="n">
        <f aca="false">3010000*G85/3600*($D$11-$E$11)</f>
        <v>0</v>
      </c>
      <c r="J85" s="103" t="n">
        <f aca="false">1230*(G85/3600)*($D$15-$E$15)</f>
        <v>0</v>
      </c>
      <c r="K85" s="103" t="n">
        <f aca="false">3010000*G85/3600*($D$17-$E$17)</f>
        <v>0</v>
      </c>
      <c r="L85" s="72"/>
    </row>
    <row r="86" customFormat="false" ht="13.05" hidden="false" customHeight="true" outlineLevel="0" collapsed="false">
      <c r="A86" s="112" t="s">
        <v>190</v>
      </c>
      <c r="B86" s="127" t="s">
        <v>191</v>
      </c>
      <c r="C86" s="127"/>
      <c r="D86" s="127"/>
      <c r="E86" s="127"/>
      <c r="F86" s="127"/>
      <c r="G86" s="127"/>
      <c r="H86" s="114" t="n">
        <f aca="false">SUM(H85:H85)</f>
        <v>0</v>
      </c>
      <c r="I86" s="114" t="n">
        <f aca="false">SUM(I85:I85)</f>
        <v>0</v>
      </c>
      <c r="J86" s="114" t="n">
        <f aca="false">SUM(J85:J85)</f>
        <v>0</v>
      </c>
      <c r="K86" s="114" t="n">
        <f aca="false">SUM(K85:K85)</f>
        <v>0</v>
      </c>
      <c r="L86" s="72"/>
    </row>
    <row r="87" customFormat="false" ht="12.8" hidden="false" customHeight="false" outlineLevel="0" collapsed="false">
      <c r="A87" s="132"/>
      <c r="B87" s="115"/>
      <c r="C87" s="115"/>
      <c r="D87" s="115"/>
      <c r="E87" s="115"/>
      <c r="F87" s="133"/>
      <c r="G87" s="133"/>
      <c r="L87" s="72"/>
    </row>
    <row r="88" customFormat="false" ht="13.05" hidden="false" customHeight="true" outlineLevel="0" collapsed="false">
      <c r="A88" s="74" t="s">
        <v>192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2"/>
    </row>
    <row r="89" customFormat="false" ht="12.8" hidden="false" customHeight="false" outlineLevel="0" collapsed="false">
      <c r="A89" s="74"/>
      <c r="B89" s="74"/>
      <c r="C89" s="74"/>
      <c r="D89" s="74"/>
      <c r="E89" s="74"/>
      <c r="F89" s="74"/>
      <c r="G89" s="133"/>
      <c r="L89" s="72"/>
    </row>
    <row r="90" customFormat="false" ht="13.05" hidden="false" customHeight="false" outlineLevel="0" collapsed="false">
      <c r="A90" s="88"/>
      <c r="B90" s="72"/>
      <c r="C90" s="72"/>
      <c r="D90" s="72"/>
      <c r="E90" s="79" t="s">
        <v>97</v>
      </c>
      <c r="F90" s="79" t="s">
        <v>107</v>
      </c>
      <c r="G90" s="72"/>
      <c r="J90" s="79" t="s">
        <v>97</v>
      </c>
      <c r="K90" s="79" t="s">
        <v>107</v>
      </c>
      <c r="L90" s="72"/>
    </row>
    <row r="91" customFormat="false" ht="24.25" hidden="false" customHeight="true" outlineLevel="0" collapsed="false">
      <c r="A91" s="79" t="s">
        <v>193</v>
      </c>
      <c r="B91" s="118" t="s">
        <v>120</v>
      </c>
      <c r="C91" s="118"/>
      <c r="D91" s="118"/>
      <c r="E91" s="79" t="s">
        <v>194</v>
      </c>
      <c r="F91" s="79" t="s">
        <v>194</v>
      </c>
      <c r="G91" s="89"/>
      <c r="H91" s="134"/>
      <c r="I91" s="134"/>
      <c r="J91" s="79"/>
      <c r="K91" s="79"/>
      <c r="L91" s="135"/>
    </row>
    <row r="92" customFormat="false" ht="13.8" hidden="false" customHeight="true" outlineLevel="0" collapsed="false">
      <c r="A92" s="79" t="n">
        <v>1</v>
      </c>
      <c r="B92" s="124" t="s">
        <v>195</v>
      </c>
      <c r="C92" s="124"/>
      <c r="D92" s="124"/>
      <c r="E92" s="103" t="n">
        <f aca="false">I51</f>
        <v>16118.009808</v>
      </c>
      <c r="F92" s="103" t="n">
        <f aca="false">K51</f>
        <v>8341.93756</v>
      </c>
      <c r="G92" s="135"/>
      <c r="H92" s="136" t="s">
        <v>196</v>
      </c>
      <c r="I92" s="136"/>
      <c r="J92" s="137" t="n">
        <f aca="false">(E97/E102)</f>
        <v>0.974076358209353</v>
      </c>
      <c r="K92" s="137" t="n">
        <f aca="false">(F97/F102)</f>
        <v>0.966310290448467</v>
      </c>
      <c r="L92" s="72"/>
    </row>
    <row r="93" customFormat="false" ht="13.8" hidden="false" customHeight="true" outlineLevel="0" collapsed="false">
      <c r="A93" s="79" t="n">
        <v>2</v>
      </c>
      <c r="B93" s="124" t="s">
        <v>197</v>
      </c>
      <c r="C93" s="124"/>
      <c r="D93" s="124"/>
      <c r="E93" s="103" t="n">
        <f aca="false">H65</f>
        <v>6370.34496</v>
      </c>
      <c r="F93" s="103" t="n">
        <f aca="false">K65</f>
        <v>6676.992</v>
      </c>
      <c r="G93" s="138"/>
      <c r="H93" s="136" t="s">
        <v>198</v>
      </c>
      <c r="I93" s="136"/>
      <c r="J93" s="139" t="n">
        <f aca="false">ROUND($E$107*3600/($B$85*$C$85),0)</f>
        <v>17</v>
      </c>
      <c r="K93" s="139" t="n">
        <f aca="false">ROUND($F$107*3600/($B$85*$C$85),0)</f>
        <v>13</v>
      </c>
      <c r="L93" s="72"/>
    </row>
    <row r="94" customFormat="false" ht="14.9" hidden="false" customHeight="true" outlineLevel="0" collapsed="false">
      <c r="A94" s="79" t="n">
        <v>3</v>
      </c>
      <c r="B94" s="124" t="s">
        <v>199</v>
      </c>
      <c r="C94" s="124"/>
      <c r="D94" s="124"/>
      <c r="E94" s="103" t="n">
        <f aca="false">G70</f>
        <v>720</v>
      </c>
      <c r="F94" s="103" t="n">
        <f aca="false">G70</f>
        <v>720</v>
      </c>
      <c r="G94" s="138"/>
      <c r="H94" s="136" t="s">
        <v>200</v>
      </c>
      <c r="I94" s="136"/>
      <c r="J94" s="139" t="n">
        <f aca="false">$E$9-($I$51+$H$65)/(SUMPRODUCT($G$28:$G$43, $F$28:$F$43) + $F$47*$G$47+ $F$49*$G$49)</f>
        <v>-75.2297669778712</v>
      </c>
      <c r="K94" s="139" t="n">
        <f aca="false">$E$15-($K$51+$K$65)/(SUMPRODUCT($G$28:$G$43, $F$28:$F$43) + $F$47*$G$47+ $F$49*$G$49)</f>
        <v>-42.2709609427067</v>
      </c>
      <c r="L94" s="72"/>
    </row>
    <row r="95" customFormat="false" ht="13.8" hidden="false" customHeight="true" outlineLevel="0" collapsed="false">
      <c r="A95" s="79" t="n">
        <v>4</v>
      </c>
      <c r="B95" s="124" t="s">
        <v>201</v>
      </c>
      <c r="C95" s="124"/>
      <c r="D95" s="124"/>
      <c r="E95" s="103" t="n">
        <f aca="false">H81</f>
        <v>8354.5</v>
      </c>
      <c r="F95" s="103" t="n">
        <f aca="false">H81</f>
        <v>8354.5</v>
      </c>
      <c r="G95" s="138"/>
      <c r="H95" s="136" t="s">
        <v>202</v>
      </c>
      <c r="I95" s="136"/>
      <c r="J95" s="140" t="n">
        <f aca="false">$M$54</f>
        <v>8</v>
      </c>
      <c r="K95" s="140" t="n">
        <f aca="false">$N$54</f>
        <v>8</v>
      </c>
      <c r="L95" s="72"/>
    </row>
    <row r="96" customFormat="false" ht="13.05" hidden="false" customHeight="true" outlineLevel="0" collapsed="false">
      <c r="A96" s="79" t="n">
        <v>5</v>
      </c>
      <c r="B96" s="124" t="s">
        <v>203</v>
      </c>
      <c r="C96" s="124"/>
      <c r="D96" s="124"/>
      <c r="E96" s="103" t="n">
        <f aca="false">H86</f>
        <v>0</v>
      </c>
      <c r="F96" s="103" t="n">
        <f aca="false">J86</f>
        <v>0</v>
      </c>
      <c r="L96" s="72"/>
    </row>
    <row r="97" customFormat="false" ht="13.05" hidden="false" customHeight="true" outlineLevel="0" collapsed="false">
      <c r="A97" s="141" t="s">
        <v>204</v>
      </c>
      <c r="B97" s="142" t="s">
        <v>205</v>
      </c>
      <c r="C97" s="142"/>
      <c r="D97" s="142"/>
      <c r="E97" s="143" t="n">
        <f aca="false">SUM(E92:E96)</f>
        <v>31562.854768</v>
      </c>
      <c r="F97" s="143" t="n">
        <f aca="false">SUM(F92:F96)</f>
        <v>24093.42956</v>
      </c>
      <c r="L97" s="72"/>
    </row>
    <row r="98" customFormat="false" ht="13.05" hidden="false" customHeight="true" outlineLevel="0" collapsed="false">
      <c r="A98" s="79" t="n">
        <v>1</v>
      </c>
      <c r="B98" s="124" t="s">
        <v>199</v>
      </c>
      <c r="C98" s="124"/>
      <c r="D98" s="124"/>
      <c r="E98" s="103" t="n">
        <f aca="false">H70</f>
        <v>840</v>
      </c>
      <c r="F98" s="103" t="n">
        <f aca="false">H70</f>
        <v>840</v>
      </c>
      <c r="L98" s="72"/>
    </row>
    <row r="99" customFormat="false" ht="13.05" hidden="false" customHeight="true" outlineLevel="0" collapsed="false">
      <c r="A99" s="79" t="n">
        <v>2</v>
      </c>
      <c r="B99" s="124" t="s">
        <v>206</v>
      </c>
      <c r="C99" s="124"/>
      <c r="D99" s="124"/>
      <c r="E99" s="103" t="n">
        <f aca="false">I81</f>
        <v>0</v>
      </c>
      <c r="F99" s="103" t="n">
        <f aca="false">I81</f>
        <v>0</v>
      </c>
      <c r="L99" s="72"/>
    </row>
    <row r="100" customFormat="false" ht="13.05" hidden="false" customHeight="true" outlineLevel="0" collapsed="false">
      <c r="A100" s="79" t="n">
        <v>3</v>
      </c>
      <c r="B100" s="124" t="s">
        <v>203</v>
      </c>
      <c r="C100" s="124"/>
      <c r="D100" s="124"/>
      <c r="E100" s="103" t="n">
        <f aca="false">I86</f>
        <v>0</v>
      </c>
      <c r="F100" s="103" t="n">
        <f aca="false">K86</f>
        <v>0</v>
      </c>
      <c r="L100" s="72"/>
    </row>
    <row r="101" customFormat="false" ht="13.05" hidden="false" customHeight="true" outlineLevel="0" collapsed="false">
      <c r="A101" s="141" t="s">
        <v>207</v>
      </c>
      <c r="B101" s="142" t="s">
        <v>208</v>
      </c>
      <c r="C101" s="142"/>
      <c r="D101" s="142"/>
      <c r="E101" s="143" t="n">
        <f aca="false">SUM(E98:E100)</f>
        <v>840</v>
      </c>
      <c r="F101" s="143" t="n">
        <f aca="false">SUM(F98:F100)</f>
        <v>840</v>
      </c>
      <c r="L101" s="72"/>
    </row>
    <row r="102" customFormat="false" ht="13.05" hidden="false" customHeight="true" outlineLevel="0" collapsed="false">
      <c r="A102" s="141" t="s">
        <v>209</v>
      </c>
      <c r="B102" s="142" t="s">
        <v>210</v>
      </c>
      <c r="C102" s="142"/>
      <c r="D102" s="142"/>
      <c r="E102" s="143" t="n">
        <f aca="false">E97+E101</f>
        <v>32402.854768</v>
      </c>
      <c r="F102" s="143" t="n">
        <f aca="false">F97+F101</f>
        <v>24933.42956</v>
      </c>
      <c r="L102" s="72"/>
    </row>
    <row r="103" s="147" customFormat="true" ht="12.8" hidden="false" customHeight="true" outlineLevel="0" collapsed="false">
      <c r="A103" s="79"/>
      <c r="B103" s="124" t="s">
        <v>211</v>
      </c>
      <c r="C103" s="124"/>
      <c r="D103" s="124"/>
      <c r="E103" s="144" t="n">
        <f aca="false">E115</f>
        <v>14.0293325688034</v>
      </c>
      <c r="F103" s="144" t="n">
        <f aca="false">F115</f>
        <v>13.9914522024065</v>
      </c>
      <c r="G103" s="70"/>
      <c r="H103" s="70"/>
      <c r="I103" s="70"/>
      <c r="J103" s="70"/>
      <c r="K103" s="70"/>
      <c r="L103" s="146"/>
    </row>
    <row r="104" customFormat="false" ht="13.05" hidden="false" customHeight="true" outlineLevel="0" collapsed="false">
      <c r="A104" s="79"/>
      <c r="B104" s="124" t="s">
        <v>212</v>
      </c>
      <c r="C104" s="124"/>
      <c r="D104" s="124"/>
      <c r="E104" s="148" t="n">
        <f aca="false">E97/(1230*($E$9-E103))</f>
        <v>2.57363488573198</v>
      </c>
      <c r="F104" s="148" t="n">
        <f aca="false">F97/(1230*($E$15-F103))</f>
        <v>1.95714248559925</v>
      </c>
      <c r="L104" s="72"/>
    </row>
    <row r="105" customFormat="false" ht="13.05" hidden="false" customHeight="true" outlineLevel="0" collapsed="false">
      <c r="A105" s="141" t="s">
        <v>213</v>
      </c>
      <c r="B105" s="142" t="s">
        <v>214</v>
      </c>
      <c r="C105" s="142"/>
      <c r="D105" s="142"/>
      <c r="E105" s="143" t="n">
        <f aca="false">1230*E104*1</f>
        <v>3165.57090945034</v>
      </c>
      <c r="F105" s="143" t="n">
        <f aca="false">1230*F104*1</f>
        <v>2407.28525728708</v>
      </c>
      <c r="G105" s="73"/>
      <c r="L105" s="72"/>
    </row>
    <row r="106" s="150" customFormat="true" ht="13.05" hidden="false" customHeight="true" outlineLevel="0" collapsed="false">
      <c r="A106" s="141" t="s">
        <v>215</v>
      </c>
      <c r="B106" s="142" t="s">
        <v>216</v>
      </c>
      <c r="C106" s="142"/>
      <c r="D106" s="142"/>
      <c r="E106" s="149" t="n">
        <f aca="false">E123*1000</f>
        <v>6000</v>
      </c>
      <c r="F106" s="149" t="n">
        <f aca="false">F123*1000</f>
        <v>4560</v>
      </c>
      <c r="G106" s="73"/>
      <c r="H106" s="70"/>
      <c r="I106" s="70"/>
      <c r="J106" s="70"/>
      <c r="K106" s="70"/>
      <c r="L106" s="73"/>
      <c r="AMJ106" s="71"/>
    </row>
    <row r="107" s="150" customFormat="true" ht="13.05" hidden="false" customHeight="true" outlineLevel="0" collapsed="false">
      <c r="A107" s="79"/>
      <c r="B107" s="82" t="s">
        <v>217</v>
      </c>
      <c r="C107" s="82"/>
      <c r="D107" s="82"/>
      <c r="E107" s="148" t="n">
        <f aca="false">(E97+E105+E106)/(1230*($E$9-E103))</f>
        <v>3.32099545287964</v>
      </c>
      <c r="F107" s="148" t="n">
        <f aca="false">(F97+F105+F106)/(1230*($E$15-F103))</f>
        <v>2.52310466845778</v>
      </c>
      <c r="G107" s="72"/>
      <c r="H107" s="70"/>
      <c r="I107" s="70"/>
      <c r="J107" s="70"/>
      <c r="K107" s="70"/>
      <c r="L107" s="73"/>
      <c r="AMJ107" s="71"/>
    </row>
    <row r="108" customFormat="false" ht="24.25" hidden="false" customHeight="true" outlineLevel="0" collapsed="false">
      <c r="A108" s="79"/>
      <c r="B108" s="124" t="s">
        <v>218</v>
      </c>
      <c r="C108" s="124"/>
      <c r="D108" s="124"/>
      <c r="E108" s="151" t="n">
        <f aca="false">$E$11-E101/(3010000*E107)</f>
        <v>0.00923659487630675</v>
      </c>
      <c r="F108" s="151" t="n">
        <f aca="false">$E$17-F101/(3010000*F107)</f>
        <v>0.00939643367249155</v>
      </c>
      <c r="L108" s="72"/>
    </row>
    <row r="109" customFormat="false" ht="12.8" hidden="false" customHeight="true" outlineLevel="0" collapsed="false">
      <c r="A109" s="79"/>
      <c r="B109" s="124" t="s">
        <v>219</v>
      </c>
      <c r="C109" s="124"/>
      <c r="D109" s="124"/>
      <c r="E109" s="152" t="n">
        <v>0.2</v>
      </c>
      <c r="F109" s="152" t="n">
        <v>0.2</v>
      </c>
      <c r="L109" s="72"/>
    </row>
    <row r="110" customFormat="false" ht="12.8" hidden="false" customHeight="true" outlineLevel="0" collapsed="false">
      <c r="A110" s="79"/>
      <c r="B110" s="124" t="s">
        <v>220</v>
      </c>
      <c r="C110" s="124"/>
      <c r="D110" s="124"/>
      <c r="E110" s="152" t="n">
        <v>0.1</v>
      </c>
      <c r="F110" s="152" t="n">
        <v>0.1</v>
      </c>
      <c r="L110" s="72"/>
    </row>
    <row r="111" customFormat="false" ht="13.05" hidden="false" customHeight="true" outlineLevel="0" collapsed="false">
      <c r="A111" s="79"/>
      <c r="B111" s="124" t="s">
        <v>221</v>
      </c>
      <c r="C111" s="124"/>
      <c r="D111" s="124"/>
      <c r="E111" s="153" t="n">
        <f aca="false">E109*($D$9-$E$9)+$E$9</f>
        <v>26.64</v>
      </c>
      <c r="F111" s="153" t="n">
        <f aca="false">F109*($D$15-$E$15)+$E$15</f>
        <v>25.66</v>
      </c>
      <c r="L111" s="72"/>
    </row>
    <row r="112" customFormat="false" ht="13.05" hidden="false" customHeight="true" outlineLevel="0" collapsed="false">
      <c r="A112" s="79"/>
      <c r="B112" s="124" t="s">
        <v>222</v>
      </c>
      <c r="C112" s="124"/>
      <c r="D112" s="124"/>
      <c r="E112" s="151" t="n">
        <f aca="false">E109*($D$11-$E$11)+$E$11</f>
        <v>0.0108234532272777</v>
      </c>
      <c r="F112" s="151" t="n">
        <f aca="false">F109*($D$17-$E$17)+$E$17</f>
        <v>0.0120418877260394</v>
      </c>
      <c r="L112" s="72"/>
    </row>
    <row r="113" customFormat="false" ht="14.9" hidden="false" customHeight="true" outlineLevel="0" collapsed="false">
      <c r="A113" s="79"/>
      <c r="B113" s="124" t="s">
        <v>223</v>
      </c>
      <c r="C113" s="124"/>
      <c r="D113" s="124"/>
      <c r="E113" s="151" t="n">
        <f aca="false">(E108-E110*E112)/(1-E110)</f>
        <v>0.00906027728175442</v>
      </c>
      <c r="F113" s="151" t="n">
        <f aca="false">(F108-F110*F112)/(1-F110)</f>
        <v>0.00910249433320845</v>
      </c>
      <c r="L113" s="72"/>
    </row>
    <row r="114" s="147" customFormat="true" ht="14.9" hidden="false" customHeight="true" outlineLevel="0" collapsed="false">
      <c r="A114" s="154"/>
      <c r="B114" s="155" t="s">
        <v>224</v>
      </c>
      <c r="C114" s="155"/>
      <c r="D114" s="155"/>
      <c r="E114" s="156" t="n">
        <f aca="false">1730.63/(8.07131-LOG10(E113*101325/(0.62198+E108)*0.00750062))-233.426</f>
        <v>12.6281472986704</v>
      </c>
      <c r="F114" s="156" t="n">
        <f aca="false">1730.63/(8.07131-LOG10(F113*101325/(0.62198+F108)*0.00750062))-233.426</f>
        <v>12.6949468915627</v>
      </c>
      <c r="L114" s="146"/>
    </row>
    <row r="115" customFormat="false" ht="13.05" hidden="false" customHeight="true" outlineLevel="0" collapsed="false">
      <c r="A115" s="79"/>
      <c r="B115" s="124" t="s">
        <v>225</v>
      </c>
      <c r="C115" s="124"/>
      <c r="D115" s="124"/>
      <c r="E115" s="153" t="n">
        <f aca="false">E114+E110*(E111-E114)</f>
        <v>14.0293325688034</v>
      </c>
      <c r="F115" s="153" t="n">
        <f aca="false">F114+F110*(F111-F114)</f>
        <v>13.9914522024065</v>
      </c>
      <c r="L115" s="72"/>
    </row>
    <row r="116" customFormat="false" ht="13.8" hidden="false" customHeight="true" outlineLevel="0" collapsed="false">
      <c r="A116" s="141" t="s">
        <v>226</v>
      </c>
      <c r="B116" s="157" t="s">
        <v>227</v>
      </c>
      <c r="C116" s="157"/>
      <c r="D116" s="157"/>
      <c r="E116" s="143" t="n">
        <f aca="false">1230*E107*(E111-E115)</f>
        <v>51512.3621120411</v>
      </c>
      <c r="F116" s="143" t="n">
        <f aca="false">1230*F107*(F111-F115)</f>
        <v>36212.3899293442</v>
      </c>
      <c r="G116" s="135"/>
      <c r="H116" s="135"/>
      <c r="I116" s="135"/>
      <c r="J116" s="135"/>
      <c r="K116" s="135"/>
      <c r="L116" s="72"/>
    </row>
    <row r="117" s="150" customFormat="true" ht="13.05" hidden="false" customHeight="true" outlineLevel="0" collapsed="false">
      <c r="A117" s="141" t="s">
        <v>228</v>
      </c>
      <c r="B117" s="157" t="s">
        <v>229</v>
      </c>
      <c r="C117" s="157"/>
      <c r="D117" s="157"/>
      <c r="E117" s="143" t="n">
        <f aca="false">3010000*E107*(E112-E108)</f>
        <v>15862.5475974955</v>
      </c>
      <c r="F117" s="143" t="n">
        <f aca="false">3010000*F107*(F112-F108)</f>
        <v>20091.0199928187</v>
      </c>
      <c r="G117" s="74" t="s">
        <v>230</v>
      </c>
      <c r="H117" s="74"/>
      <c r="I117" s="74"/>
      <c r="J117" s="74"/>
      <c r="K117" s="74"/>
      <c r="AMJ117" s="71"/>
    </row>
    <row r="118" s="150" customFormat="true" ht="13.05" hidden="false" customHeight="true" outlineLevel="0" collapsed="false">
      <c r="A118" s="141" t="s">
        <v>231</v>
      </c>
      <c r="B118" s="157" t="s">
        <v>232</v>
      </c>
      <c r="C118" s="157"/>
      <c r="D118" s="157"/>
      <c r="E118" s="143" t="n">
        <f aca="false">E116+E117</f>
        <v>67374.9097095366</v>
      </c>
      <c r="F118" s="143" t="n">
        <f aca="false">F116+F117</f>
        <v>56303.4099221629</v>
      </c>
      <c r="G118" s="70"/>
      <c r="H118" s="105"/>
      <c r="I118" s="70"/>
      <c r="J118" s="70"/>
      <c r="K118" s="70"/>
      <c r="AMJ118" s="71"/>
    </row>
    <row r="119" s="150" customFormat="true" ht="12.8" hidden="false" customHeight="true" outlineLevel="0" collapsed="false">
      <c r="A119" s="141"/>
      <c r="B119" s="157" t="s">
        <v>233</v>
      </c>
      <c r="C119" s="157"/>
      <c r="D119" s="157"/>
      <c r="E119" s="158" t="n">
        <f aca="false">E118/3517</f>
        <v>19.1569262751028</v>
      </c>
      <c r="F119" s="158" t="n">
        <f aca="false">F118/3517</f>
        <v>16.0089308848914</v>
      </c>
      <c r="G119" s="159" t="s">
        <v>204</v>
      </c>
      <c r="H119" s="160" t="s">
        <v>234</v>
      </c>
      <c r="I119" s="160"/>
      <c r="J119" s="161" t="n">
        <f aca="false">MAX(E119:F119)*1.1</f>
        <v>21.0726189026131</v>
      </c>
      <c r="K119" s="150" t="s">
        <v>17</v>
      </c>
      <c r="AMJ119" s="71"/>
    </row>
    <row r="120" customFormat="false" ht="12.8" hidden="false" customHeight="true" outlineLevel="0" collapsed="false">
      <c r="A120" s="162" t="s">
        <v>235</v>
      </c>
      <c r="B120" s="163" t="s">
        <v>236</v>
      </c>
      <c r="C120" s="163"/>
      <c r="D120" s="163"/>
      <c r="E120" s="164" t="n">
        <f aca="false">1230*E107*(E103-E115)/1000</f>
        <v>0</v>
      </c>
      <c r="F120" s="164" t="n">
        <f aca="false">1230*F107*(F103-F115)/1000</f>
        <v>0</v>
      </c>
      <c r="G120" s="159" t="s">
        <v>207</v>
      </c>
      <c r="H120" s="160" t="s">
        <v>237</v>
      </c>
      <c r="I120" s="160"/>
      <c r="J120" s="165" t="n">
        <f aca="false">MAX(E121:F121)*1.1</f>
        <v>13151.1419934034</v>
      </c>
      <c r="K120" s="150" t="s">
        <v>7</v>
      </c>
      <c r="L120" s="72"/>
    </row>
    <row r="121" customFormat="false" ht="24.25" hidden="false" customHeight="true" outlineLevel="0" collapsed="false">
      <c r="A121" s="141" t="s">
        <v>238</v>
      </c>
      <c r="B121" s="157" t="s">
        <v>239</v>
      </c>
      <c r="C121" s="157"/>
      <c r="D121" s="157"/>
      <c r="E121" s="143" t="n">
        <f aca="false">E107*3600</f>
        <v>11955.5836303667</v>
      </c>
      <c r="F121" s="143" t="n">
        <f aca="false">F107*3600</f>
        <v>9083.17680644801</v>
      </c>
      <c r="G121" s="74"/>
      <c r="H121" s="166" t="s">
        <v>240</v>
      </c>
      <c r="I121" s="166"/>
      <c r="J121" s="167"/>
      <c r="K121" s="74"/>
    </row>
    <row r="122" customFormat="false" ht="12.8" hidden="false" customHeight="true" outlineLevel="0" collapsed="false">
      <c r="A122" s="79"/>
      <c r="B122" s="82" t="s">
        <v>241</v>
      </c>
      <c r="C122" s="82"/>
      <c r="D122" s="82"/>
      <c r="E122" s="168" t="n">
        <v>1200</v>
      </c>
      <c r="F122" s="168" t="n">
        <v>1200</v>
      </c>
      <c r="H122" s="169" t="s">
        <v>242</v>
      </c>
      <c r="I122" s="169"/>
      <c r="J122" s="170" t="n">
        <f aca="false">ROUND((J120/1.7)/J119,0)</f>
        <v>367</v>
      </c>
    </row>
    <row r="123" customFormat="false" ht="13.05" hidden="false" customHeight="true" outlineLevel="0" collapsed="false">
      <c r="A123" s="79"/>
      <c r="B123" s="82" t="s">
        <v>243</v>
      </c>
      <c r="C123" s="82"/>
      <c r="D123" s="82"/>
      <c r="E123" s="148" t="n">
        <f aca="false">ROUNDUP(E107*E122/(0.7*0.95)/1000,2)</f>
        <v>6</v>
      </c>
      <c r="F123" s="148" t="n">
        <f aca="false">ROUNDUP(F107*F122/(0.7*0.95)/1000,2)</f>
        <v>4.56</v>
      </c>
      <c r="H123" s="169" t="s">
        <v>244</v>
      </c>
      <c r="I123" s="169"/>
      <c r="J123" s="170" t="n">
        <f aca="false">ROUND(B85/J119,1)</f>
        <v>7.2</v>
      </c>
    </row>
    <row r="124" customFormat="false" ht="13.8" hidden="false" customHeight="false" outlineLevel="0" collapsed="false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</row>
    <row r="125" s="70" customFormat="true" ht="13.8" hidden="false" customHeight="false" outlineLevel="0" collapsed="false">
      <c r="G125" s="135"/>
      <c r="H125" s="135"/>
      <c r="I125" s="135"/>
      <c r="J125" s="135"/>
      <c r="K125" s="135"/>
      <c r="AMJ125" s="71"/>
    </row>
    <row r="126" s="70" customFormat="true" ht="13.8" hidden="false" customHeight="false" outlineLevel="0" collapsed="false">
      <c r="G126" s="135"/>
      <c r="H126" s="135"/>
      <c r="I126" s="135"/>
      <c r="J126" s="135"/>
      <c r="K126" s="135"/>
      <c r="AMJ126" s="71"/>
    </row>
    <row r="127" s="70" customFormat="true" ht="12.8" hidden="false" customHeight="false" outlineLevel="0" collapsed="false">
      <c r="AMJ127" s="71"/>
    </row>
    <row r="128" s="70" customFormat="true" ht="12.8" hidden="false" customHeight="false" outlineLevel="0" collapsed="false">
      <c r="AMJ128" s="71"/>
    </row>
  </sheetData>
  <mergeCells count="108">
    <mergeCell ref="A2:K2"/>
    <mergeCell ref="B4:G4"/>
    <mergeCell ref="B5:G5"/>
    <mergeCell ref="E6:G6"/>
    <mergeCell ref="A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F53:H53"/>
    <mergeCell ref="I53:K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0:F70"/>
    <mergeCell ref="A72:E72"/>
    <mergeCell ref="B81:G81"/>
    <mergeCell ref="H83:I83"/>
    <mergeCell ref="J83:K83"/>
    <mergeCell ref="B86:G86"/>
    <mergeCell ref="A88:K88"/>
    <mergeCell ref="B91:D91"/>
    <mergeCell ref="H91:I91"/>
    <mergeCell ref="B92:D92"/>
    <mergeCell ref="H92:I92"/>
    <mergeCell ref="B93:D93"/>
    <mergeCell ref="H93:I93"/>
    <mergeCell ref="B94:D94"/>
    <mergeCell ref="H94:I94"/>
    <mergeCell ref="B95:D95"/>
    <mergeCell ref="H95:I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G117:K117"/>
    <mergeCell ref="B118:D118"/>
    <mergeCell ref="B119:D119"/>
    <mergeCell ref="H119:I119"/>
    <mergeCell ref="B120:D120"/>
    <mergeCell ref="H120:I120"/>
    <mergeCell ref="B121:D121"/>
    <mergeCell ref="H121:I121"/>
    <mergeCell ref="B122:D122"/>
    <mergeCell ref="H122:I122"/>
    <mergeCell ref="B123:D123"/>
    <mergeCell ref="H123:I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1" man="true" max="16383" min="0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115" zoomScalePageLayoutView="130" workbookViewId="0">
      <selection pane="topLeft" activeCell="B6" activeCellId="0" sqref="B6"/>
    </sheetView>
  </sheetViews>
  <sheetFormatPr defaultColWidth="9.13671875" defaultRowHeight="12.8" zeroHeight="false" outlineLevelRow="0" outlineLevelCol="0"/>
  <cols>
    <col collapsed="false" customWidth="true" hidden="false" outlineLevel="0" max="1" min="1" style="69" width="11.64"/>
    <col collapsed="false" customWidth="true" hidden="false" outlineLevel="0" max="2" min="2" style="69" width="15.8"/>
    <col collapsed="false" customWidth="true" hidden="false" outlineLevel="0" max="3" min="3" style="69" width="9.83"/>
    <col collapsed="false" customWidth="true" hidden="false" outlineLevel="0" max="4" min="4" style="69" width="9.24"/>
    <col collapsed="false" customWidth="true" hidden="false" outlineLevel="0" max="5" min="5" style="70" width="9.51"/>
    <col collapsed="false" customWidth="true" hidden="false" outlineLevel="0" max="6" min="6" style="70" width="8.14"/>
    <col collapsed="false" customWidth="true" hidden="false" outlineLevel="0" max="7" min="7" style="70" width="8.79"/>
    <col collapsed="false" customWidth="true" hidden="false" outlineLevel="0" max="8" min="8" style="70" width="13.55"/>
    <col collapsed="false" customWidth="true" hidden="false" outlineLevel="0" max="9" min="9" style="70" width="8.55"/>
    <col collapsed="false" customWidth="true" hidden="false" outlineLevel="0" max="10" min="10" style="70" width="10.25"/>
    <col collapsed="false" customWidth="false" hidden="false" outlineLevel="0" max="12" min="11" style="70" width="9.13"/>
    <col collapsed="false" customWidth="true" hidden="false" outlineLevel="0" max="13" min="13" style="70" width="11.94"/>
    <col collapsed="false" customWidth="false" hidden="false" outlineLevel="0" max="1023" min="14" style="70" width="9.13"/>
    <col collapsed="false" customWidth="false" hidden="false" outlineLevel="0" max="1024" min="1024" style="71" width="9.13"/>
  </cols>
  <sheetData>
    <row r="1" customFormat="false" ht="12.8" hidden="false" customHeight="false" outlineLevel="0" collapsed="false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3.05" hidden="false" customHeight="true" outlineLevel="0" collapsed="false">
      <c r="A2" s="74" t="s">
        <v>86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customFormat="false" ht="12.8" hidden="false" customHeight="false" outlineLevel="0" collapsed="false">
      <c r="A3" s="72"/>
      <c r="B3" s="72"/>
      <c r="C3" s="72"/>
      <c r="D3" s="72"/>
      <c r="E3" s="72"/>
      <c r="F3" s="72"/>
      <c r="G3" s="76"/>
      <c r="H3" s="72"/>
      <c r="I3" s="72"/>
      <c r="J3" s="72"/>
      <c r="K3" s="72"/>
    </row>
    <row r="4" customFormat="false" ht="13.05" hidden="false" customHeight="false" outlineLevel="0" collapsed="false">
      <c r="A4" s="77" t="s">
        <v>87</v>
      </c>
      <c r="B4" s="77"/>
      <c r="C4" s="77"/>
      <c r="D4" s="77"/>
      <c r="E4" s="77"/>
      <c r="F4" s="77"/>
      <c r="G4" s="77"/>
      <c r="H4" s="78" t="s">
        <v>88</v>
      </c>
      <c r="I4" s="79"/>
      <c r="J4" s="80" t="s">
        <v>89</v>
      </c>
      <c r="K4" s="81"/>
    </row>
    <row r="5" customFormat="false" ht="12.8" hidden="false" customHeight="true" outlineLevel="0" collapsed="false">
      <c r="A5" s="82" t="s">
        <v>90</v>
      </c>
      <c r="B5" s="83" t="s">
        <v>247</v>
      </c>
      <c r="C5" s="83"/>
      <c r="D5" s="83"/>
      <c r="E5" s="83"/>
      <c r="F5" s="83"/>
      <c r="G5" s="83"/>
      <c r="H5" s="84" t="s">
        <v>92</v>
      </c>
      <c r="I5" s="79"/>
      <c r="J5" s="80" t="s">
        <v>89</v>
      </c>
      <c r="K5" s="85"/>
      <c r="L5" s="86"/>
    </row>
    <row r="6" customFormat="false" ht="13.05" hidden="false" customHeight="false" outlineLevel="0" collapsed="false">
      <c r="A6" s="80" t="s">
        <v>93</v>
      </c>
      <c r="B6" s="87" t="n">
        <v>1</v>
      </c>
      <c r="C6" s="79" t="s">
        <v>94</v>
      </c>
      <c r="D6" s="87" t="n">
        <v>1</v>
      </c>
      <c r="E6" s="80"/>
      <c r="F6" s="80"/>
      <c r="G6" s="80"/>
      <c r="H6" s="84" t="s">
        <v>95</v>
      </c>
      <c r="I6" s="79"/>
      <c r="J6" s="80" t="s">
        <v>89</v>
      </c>
      <c r="K6" s="81"/>
      <c r="L6" s="72"/>
    </row>
    <row r="7" customFormat="false" ht="13.05" hidden="false" customHeight="true" outlineLevel="0" collapsed="false">
      <c r="A7" s="88" t="s">
        <v>96</v>
      </c>
      <c r="B7" s="88"/>
      <c r="C7" s="88"/>
      <c r="D7" s="88"/>
      <c r="E7" s="88"/>
      <c r="F7" s="72"/>
      <c r="G7" s="72"/>
      <c r="H7" s="72"/>
      <c r="I7" s="89"/>
      <c r="J7" s="72"/>
      <c r="K7" s="90"/>
      <c r="L7" s="72"/>
    </row>
    <row r="8" customFormat="false" ht="13.05" hidden="false" customHeight="true" outlineLevel="0" collapsed="false">
      <c r="A8" s="91" t="s">
        <v>97</v>
      </c>
      <c r="B8" s="91"/>
      <c r="C8" s="80"/>
      <c r="D8" s="92" t="s">
        <v>98</v>
      </c>
      <c r="E8" s="92" t="s">
        <v>99</v>
      </c>
      <c r="F8" s="92" t="s">
        <v>100</v>
      </c>
      <c r="G8" s="72"/>
      <c r="H8" s="93" t="s">
        <v>101</v>
      </c>
      <c r="I8" s="89"/>
      <c r="J8" s="72"/>
      <c r="K8" s="90"/>
      <c r="L8" s="72"/>
    </row>
    <row r="9" customFormat="false" ht="12.8" hidden="false" customHeight="true" outlineLevel="0" collapsed="false">
      <c r="A9" s="82" t="s">
        <v>102</v>
      </c>
      <c r="B9" s="82"/>
      <c r="C9" s="80"/>
      <c r="D9" s="94" t="n">
        <v>37.2</v>
      </c>
      <c r="E9" s="87" t="n">
        <v>24</v>
      </c>
      <c r="F9" s="80"/>
      <c r="G9" s="72"/>
      <c r="H9" s="95" t="s">
        <v>103</v>
      </c>
      <c r="I9" s="89"/>
      <c r="J9" s="72"/>
      <c r="K9" s="90"/>
      <c r="L9" s="72"/>
    </row>
    <row r="10" customFormat="false" ht="12.8" hidden="false" customHeight="true" outlineLevel="0" collapsed="false">
      <c r="A10" s="82" t="s">
        <v>104</v>
      </c>
      <c r="B10" s="82"/>
      <c r="C10" s="80"/>
      <c r="D10" s="94" t="n">
        <v>41</v>
      </c>
      <c r="E10" s="87" t="n">
        <v>50</v>
      </c>
      <c r="F10" s="80"/>
      <c r="G10" s="72"/>
      <c r="H10" s="96"/>
      <c r="I10" s="89"/>
      <c r="J10" s="72"/>
      <c r="K10" s="90"/>
      <c r="L10" s="72"/>
    </row>
    <row r="11" customFormat="false" ht="13.05" hidden="false" customHeight="true" outlineLevel="0" collapsed="false">
      <c r="A11" s="82" t="s">
        <v>105</v>
      </c>
      <c r="B11" s="82"/>
      <c r="C11" s="80"/>
      <c r="D11" s="97" t="n">
        <f aca="false">0.62198/(101325/(EXP(77.345+0.0057*(273+D9)- 7235/(273+D9))/(273+D9)^8.2)-1)*D10/100</f>
        <v>0.016834758778653</v>
      </c>
      <c r="E11" s="97" t="n">
        <f aca="false">0.62198/(101325/(EXP(77.345+0.0057*(273+E9)- 7235/(273+E9))/(273+E9)^8.2)-1)*E10/100</f>
        <v>0.00932062683943392</v>
      </c>
      <c r="F11" s="80"/>
      <c r="G11" s="72"/>
      <c r="H11" s="72"/>
      <c r="I11" s="89"/>
      <c r="J11" s="72"/>
      <c r="K11" s="90"/>
      <c r="L11" s="72"/>
    </row>
    <row r="12" customFormat="false" ht="13.05" hidden="false" customHeight="true" outlineLevel="0" collapsed="false">
      <c r="A12" s="82" t="s">
        <v>106</v>
      </c>
      <c r="B12" s="82"/>
      <c r="C12" s="80"/>
      <c r="D12" s="79"/>
      <c r="E12" s="79"/>
      <c r="F12" s="87" t="n">
        <v>10.5</v>
      </c>
      <c r="G12" s="72"/>
      <c r="H12" s="72"/>
      <c r="I12" s="89"/>
      <c r="J12" s="72"/>
      <c r="K12" s="90"/>
      <c r="L12" s="72"/>
    </row>
    <row r="13" customFormat="false" ht="12.8" hidden="false" customHeight="false" outlineLevel="0" collapsed="false">
      <c r="A13" s="82"/>
      <c r="B13" s="82"/>
      <c r="C13" s="80"/>
      <c r="D13" s="79"/>
      <c r="E13" s="79"/>
      <c r="F13" s="79"/>
      <c r="G13" s="72"/>
      <c r="H13" s="72"/>
      <c r="I13" s="89"/>
      <c r="J13" s="72"/>
      <c r="K13" s="90"/>
      <c r="L13" s="72"/>
    </row>
    <row r="14" customFormat="false" ht="13.05" hidden="false" customHeight="true" outlineLevel="0" collapsed="false">
      <c r="A14" s="91" t="s">
        <v>107</v>
      </c>
      <c r="B14" s="91"/>
      <c r="C14" s="80"/>
      <c r="D14" s="98"/>
      <c r="E14" s="98"/>
      <c r="F14" s="80"/>
      <c r="G14" s="72"/>
      <c r="H14" s="72"/>
      <c r="I14" s="89"/>
      <c r="J14" s="72"/>
      <c r="K14" s="90"/>
      <c r="L14" s="72"/>
    </row>
    <row r="15" customFormat="false" ht="12.8" hidden="false" customHeight="true" outlineLevel="0" collapsed="false">
      <c r="A15" s="82" t="s">
        <v>102</v>
      </c>
      <c r="B15" s="82"/>
      <c r="C15" s="80"/>
      <c r="D15" s="94" t="n">
        <v>32.3</v>
      </c>
      <c r="E15" s="87" t="n">
        <v>24</v>
      </c>
      <c r="F15" s="80"/>
      <c r="G15" s="72"/>
      <c r="H15" s="72"/>
      <c r="I15" s="89"/>
      <c r="J15" s="72"/>
      <c r="K15" s="90"/>
      <c r="L15" s="72"/>
    </row>
    <row r="16" customFormat="false" ht="12.8" hidden="false" customHeight="true" outlineLevel="0" collapsed="false">
      <c r="A16" s="82" t="s">
        <v>104</v>
      </c>
      <c r="B16" s="82"/>
      <c r="C16" s="80"/>
      <c r="D16" s="94" t="n">
        <v>72</v>
      </c>
      <c r="E16" s="87" t="n">
        <v>50</v>
      </c>
      <c r="F16" s="80"/>
      <c r="G16" s="72"/>
      <c r="H16" s="72"/>
      <c r="I16" s="89"/>
      <c r="J16" s="72"/>
      <c r="K16" s="90"/>
      <c r="L16" s="72"/>
    </row>
    <row r="17" customFormat="false" ht="13.05" hidden="false" customHeight="true" outlineLevel="0" collapsed="false">
      <c r="A17" s="82" t="s">
        <v>105</v>
      </c>
      <c r="B17" s="82"/>
      <c r="C17" s="80"/>
      <c r="D17" s="97" t="n">
        <f aca="false">0.62198/(101325/(EXP(77.345+0.0057*(273+D15)- 7235/(273+D15))/(273+D15)^8.2)-1)*D16/100</f>
        <v>0.0221812811253068</v>
      </c>
      <c r="E17" s="97" t="n">
        <f aca="false">0.62198/(101325/(EXP(77.345+0.0057*(273+E15)- 7235/(273+E15))/(273+E15)^8.2)-1)*E16/100</f>
        <v>0.00932062683943392</v>
      </c>
      <c r="F17" s="80"/>
      <c r="G17" s="72"/>
      <c r="H17" s="72"/>
      <c r="I17" s="89"/>
      <c r="J17" s="72"/>
      <c r="K17" s="90"/>
      <c r="L17" s="72"/>
    </row>
    <row r="18" customFormat="false" ht="13.05" hidden="false" customHeight="true" outlineLevel="0" collapsed="false">
      <c r="A18" s="82" t="s">
        <v>106</v>
      </c>
      <c r="B18" s="82"/>
      <c r="C18" s="80"/>
      <c r="D18" s="79"/>
      <c r="E18" s="79"/>
      <c r="F18" s="87" t="n">
        <v>10.5</v>
      </c>
      <c r="G18" s="72"/>
      <c r="H18" s="72"/>
      <c r="I18" s="89"/>
      <c r="J18" s="72"/>
      <c r="K18" s="90"/>
      <c r="L18" s="72"/>
    </row>
    <row r="19" customFormat="false" ht="12.8" hidden="false" customHeight="false" outlineLevel="0" collapsed="false">
      <c r="A19" s="82"/>
      <c r="B19" s="82"/>
      <c r="C19" s="80"/>
      <c r="D19" s="80"/>
      <c r="E19" s="80"/>
      <c r="F19" s="80"/>
      <c r="G19" s="72"/>
      <c r="H19" s="72"/>
      <c r="I19" s="89"/>
      <c r="J19" s="72"/>
      <c r="K19" s="90"/>
      <c r="L19" s="72"/>
    </row>
    <row r="20" customFormat="false" ht="13.05" hidden="false" customHeight="false" outlineLevel="0" collapsed="false">
      <c r="A20" s="80" t="s">
        <v>108</v>
      </c>
      <c r="B20" s="80"/>
      <c r="C20" s="80"/>
      <c r="D20" s="99" t="s">
        <v>109</v>
      </c>
      <c r="E20" s="79"/>
      <c r="F20" s="80"/>
      <c r="G20" s="72"/>
      <c r="H20" s="72"/>
      <c r="I20" s="89"/>
      <c r="J20" s="72"/>
      <c r="K20" s="90"/>
      <c r="L20" s="72"/>
    </row>
    <row r="21" customFormat="false" ht="13.05" hidden="false" customHeight="false" outlineLevel="0" collapsed="false">
      <c r="A21" s="80"/>
      <c r="B21" s="80" t="s">
        <v>110</v>
      </c>
      <c r="C21" s="87" t="s">
        <v>111</v>
      </c>
      <c r="D21" s="100" t="s">
        <v>112</v>
      </c>
      <c r="E21" s="100" t="s">
        <v>113</v>
      </c>
      <c r="F21" s="80"/>
      <c r="G21" s="72"/>
      <c r="H21" s="72"/>
      <c r="I21" s="89"/>
      <c r="J21" s="72"/>
      <c r="K21" s="90"/>
      <c r="L21" s="72"/>
    </row>
    <row r="22" customFormat="false" ht="13.05" hidden="false" customHeight="false" outlineLevel="0" collapsed="false">
      <c r="A22" s="80"/>
      <c r="B22" s="80" t="s">
        <v>114</v>
      </c>
      <c r="C22" s="100" t="s">
        <v>111</v>
      </c>
      <c r="D22" s="87" t="s">
        <v>112</v>
      </c>
      <c r="E22" s="100" t="s">
        <v>113</v>
      </c>
      <c r="F22" s="80"/>
      <c r="G22" s="72"/>
      <c r="H22" s="72"/>
      <c r="I22" s="89"/>
      <c r="J22" s="72"/>
      <c r="K22" s="90"/>
      <c r="L22" s="72"/>
    </row>
    <row r="23" customFormat="false" ht="13.05" hidden="false" customHeight="false" outlineLevel="0" collapsed="false">
      <c r="A23" s="80"/>
      <c r="B23" s="80" t="s">
        <v>115</v>
      </c>
      <c r="C23" s="100" t="s">
        <v>116</v>
      </c>
      <c r="D23" s="87" t="s">
        <v>117</v>
      </c>
      <c r="E23" s="100" t="s">
        <v>118</v>
      </c>
      <c r="F23" s="80"/>
      <c r="G23" s="72"/>
      <c r="H23" s="72"/>
      <c r="I23" s="89"/>
      <c r="J23" s="72"/>
      <c r="K23" s="90"/>
      <c r="L23" s="72"/>
    </row>
    <row r="24" customFormat="false" ht="12.8" hidden="false" customHeight="false" outlineLevel="0" collapsed="false">
      <c r="A24" s="72"/>
      <c r="B24" s="72"/>
      <c r="C24" s="89"/>
      <c r="D24" s="72"/>
      <c r="E24" s="72"/>
      <c r="F24" s="72"/>
      <c r="G24" s="72"/>
      <c r="H24" s="72"/>
      <c r="I24" s="89"/>
      <c r="J24" s="72"/>
      <c r="K24" s="90"/>
      <c r="L24" s="72"/>
    </row>
    <row r="25" customFormat="false" ht="12.8" hidden="false" customHeight="false" outlineLevel="0" collapsed="false">
      <c r="A25" s="101" t="s">
        <v>119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88"/>
      <c r="M25" s="72"/>
    </row>
    <row r="26" customFormat="false" ht="13.05" hidden="false" customHeight="true" outlineLevel="0" collapsed="false">
      <c r="A26" s="79" t="s">
        <v>120</v>
      </c>
      <c r="B26" s="79" t="s">
        <v>121</v>
      </c>
      <c r="C26" s="79"/>
      <c r="D26" s="79"/>
      <c r="E26" s="79"/>
      <c r="F26" s="79" t="s">
        <v>122</v>
      </c>
      <c r="G26" s="79" t="s">
        <v>123</v>
      </c>
      <c r="H26" s="79" t="s">
        <v>97</v>
      </c>
      <c r="I26" s="79" t="s">
        <v>124</v>
      </c>
      <c r="J26" s="79" t="s">
        <v>107</v>
      </c>
      <c r="K26" s="79" t="s">
        <v>124</v>
      </c>
      <c r="L26" s="72"/>
      <c r="M26" s="69"/>
    </row>
    <row r="27" customFormat="false" ht="24.25" hidden="false" customHeight="false" outlineLevel="0" collapsed="false">
      <c r="A27" s="79" t="s">
        <v>125</v>
      </c>
      <c r="B27" s="79"/>
      <c r="C27" s="79"/>
      <c r="D27" s="79"/>
      <c r="E27" s="79"/>
      <c r="F27" s="79" t="s">
        <v>126</v>
      </c>
      <c r="G27" s="79" t="s">
        <v>127</v>
      </c>
      <c r="H27" s="79" t="s">
        <v>128</v>
      </c>
      <c r="I27" s="79" t="s">
        <v>129</v>
      </c>
      <c r="J27" s="79" t="s">
        <v>128</v>
      </c>
      <c r="K27" s="79" t="s">
        <v>129</v>
      </c>
      <c r="L27" s="72"/>
    </row>
    <row r="28" customFormat="false" ht="12.8" hidden="false" customHeight="true" outlineLevel="0" collapsed="false">
      <c r="A28" s="79" t="n">
        <v>1</v>
      </c>
      <c r="B28" s="80" t="s">
        <v>130</v>
      </c>
      <c r="C28" s="80"/>
      <c r="D28" s="80"/>
      <c r="E28" s="80"/>
      <c r="F28" s="87"/>
      <c r="G28" s="87" t="n">
        <v>2.28</v>
      </c>
      <c r="H28" s="102" t="n">
        <f aca="false">VALUES!$F46+(25.6-$E$9)+($D$9-0.5*$F$12-29.4)</f>
        <v>13.45</v>
      </c>
      <c r="I28" s="103" t="n">
        <f aca="false">F28*G28*H28</f>
        <v>0</v>
      </c>
      <c r="J28" s="102" t="n">
        <f aca="false">VALUES!$I46+(25.6-$E$15)+($D$15-0.5*$F$18-29.4)</f>
        <v>3.95</v>
      </c>
      <c r="K28" s="103" t="n">
        <f aca="false">F28*G28*J28</f>
        <v>0</v>
      </c>
      <c r="L28" s="72"/>
    </row>
    <row r="29" customFormat="false" ht="13.05" hidden="false" customHeight="true" outlineLevel="0" collapsed="false">
      <c r="A29" s="79" t="n">
        <v>2</v>
      </c>
      <c r="B29" s="80" t="s">
        <v>131</v>
      </c>
      <c r="C29" s="80"/>
      <c r="D29" s="80"/>
      <c r="E29" s="80"/>
      <c r="F29" s="87"/>
      <c r="G29" s="87" t="n">
        <v>2.28</v>
      </c>
      <c r="H29" s="102" t="n">
        <f aca="false">VALUES!$F47+(25.6-$E$9)+($D$9-0.5*$F$12-29.4)</f>
        <v>13.85</v>
      </c>
      <c r="I29" s="103" t="n">
        <f aca="false">F29*G29*H29</f>
        <v>0</v>
      </c>
      <c r="J29" s="102" t="n">
        <f aca="false">VALUES!$I47+(25.6-$E$15)+($D$15-0.5*$F$18-29.4)</f>
        <v>5.05</v>
      </c>
      <c r="K29" s="103" t="n">
        <f aca="false">F29*G29*J29</f>
        <v>0</v>
      </c>
      <c r="L29" s="72"/>
    </row>
    <row r="30" customFormat="false" ht="12.8" hidden="false" customHeight="true" outlineLevel="0" collapsed="false">
      <c r="A30" s="79" t="n">
        <v>3</v>
      </c>
      <c r="B30" s="80" t="s">
        <v>132</v>
      </c>
      <c r="C30" s="80"/>
      <c r="D30" s="80"/>
      <c r="E30" s="80"/>
      <c r="F30" s="87" t="n">
        <f aca="false">15*4.6</f>
        <v>69</v>
      </c>
      <c r="G30" s="87" t="n">
        <v>2.28</v>
      </c>
      <c r="H30" s="102" t="n">
        <f aca="false">VALUES!$F48+(25.6-$E$9)+($D$9-0.5*$F$12-29.4)</f>
        <v>13.85</v>
      </c>
      <c r="I30" s="103" t="n">
        <f aca="false">F30*G30*H30</f>
        <v>2178.882</v>
      </c>
      <c r="J30" s="102" t="n">
        <f aca="false">VALUES!$I48+(25.6-$E$15)+($D$15-0.5*$F$18-29.4)</f>
        <v>8.95</v>
      </c>
      <c r="K30" s="103" t="n">
        <f aca="false">F30*G30*J30</f>
        <v>1408.014</v>
      </c>
      <c r="L30" s="72"/>
    </row>
    <row r="31" customFormat="false" ht="13.05" hidden="false" customHeight="true" outlineLevel="0" collapsed="false">
      <c r="A31" s="79" t="n">
        <v>4</v>
      </c>
      <c r="B31" s="80" t="s">
        <v>133</v>
      </c>
      <c r="C31" s="80"/>
      <c r="D31" s="80"/>
      <c r="E31" s="80"/>
      <c r="F31" s="87"/>
      <c r="G31" s="87" t="n">
        <v>2.28</v>
      </c>
      <c r="H31" s="102" t="n">
        <f aca="false">VALUES!$F49+(25.6-$E$9)+($D$9-0.5*$F$12-29.4)</f>
        <v>11.15</v>
      </c>
      <c r="I31" s="103" t="n">
        <f aca="false">F31*G31*H31</f>
        <v>0</v>
      </c>
      <c r="J31" s="102" t="n">
        <f aca="false">VALUES!$I49+(25.6-$E$15)+($D$15-0.5*$F$18-29.4)</f>
        <v>10.55</v>
      </c>
      <c r="K31" s="103" t="n">
        <f aca="false">F31*G31*J31</f>
        <v>0</v>
      </c>
      <c r="L31" s="72"/>
    </row>
    <row r="32" customFormat="false" ht="12.8" hidden="false" customHeight="true" outlineLevel="0" collapsed="false">
      <c r="A32" s="79" t="n">
        <v>5</v>
      </c>
      <c r="B32" s="80" t="s">
        <v>134</v>
      </c>
      <c r="C32" s="80"/>
      <c r="D32" s="80"/>
      <c r="E32" s="80"/>
      <c r="F32" s="87" t="n">
        <f aca="false">3.5*4.6</f>
        <v>16.1</v>
      </c>
      <c r="G32" s="87" t="n">
        <v>2.28</v>
      </c>
      <c r="H32" s="102" t="n">
        <f aca="false">VALUES!$F50+(25.6-$E$9)+($D$9-0.5*$F$12-29.4)</f>
        <v>9.95000000000001</v>
      </c>
      <c r="I32" s="103" t="n">
        <f aca="false">F32*G32*H32</f>
        <v>365.2446</v>
      </c>
      <c r="J32" s="102" t="n">
        <f aca="false">VALUES!$I50+(25.6-$E$15)+($D$15-0.5*$F$18-29.4)</f>
        <v>11.65</v>
      </c>
      <c r="K32" s="103" t="n">
        <f aca="false">F32*G32*J32</f>
        <v>427.6482</v>
      </c>
      <c r="L32" s="72"/>
    </row>
    <row r="33" customFormat="false" ht="13.05" hidden="false" customHeight="true" outlineLevel="0" collapsed="false">
      <c r="A33" s="79" t="n">
        <v>6</v>
      </c>
      <c r="B33" s="80" t="s">
        <v>135</v>
      </c>
      <c r="C33" s="80"/>
      <c r="D33" s="80"/>
      <c r="E33" s="80"/>
      <c r="F33" s="87"/>
      <c r="G33" s="87" t="n">
        <v>2.28</v>
      </c>
      <c r="H33" s="102" t="n">
        <f aca="false">VALUES!$F51+(25.6-$E$9)+($D$9-0.5*$F$12-29.4)</f>
        <v>11.95</v>
      </c>
      <c r="I33" s="103" t="n">
        <f aca="false">F33*G33*H33</f>
        <v>0</v>
      </c>
      <c r="J33" s="102" t="n">
        <f aca="false">VALUES!$I51+(25.6-$E$15)+($D$15-0.5*$F$18-29.4)</f>
        <v>11.35</v>
      </c>
      <c r="K33" s="103" t="n">
        <f aca="false">F33*G33*J33</f>
        <v>0</v>
      </c>
      <c r="L33" s="72"/>
    </row>
    <row r="34" customFormat="false" ht="23.85" hidden="false" customHeight="true" outlineLevel="0" collapsed="false">
      <c r="A34" s="79" t="n">
        <v>7</v>
      </c>
      <c r="B34" s="80" t="s">
        <v>136</v>
      </c>
      <c r="C34" s="80"/>
      <c r="D34" s="80"/>
      <c r="E34" s="80"/>
      <c r="F34" s="87"/>
      <c r="G34" s="87" t="n">
        <v>2.28</v>
      </c>
      <c r="H34" s="102" t="n">
        <f aca="false">VALUES!$F52+(25.6-$E$9)+($D$9-0.5*$F$12-29.4)</f>
        <v>15.05</v>
      </c>
      <c r="I34" s="103" t="n">
        <f aca="false">F34*G34*H34</f>
        <v>0</v>
      </c>
      <c r="J34" s="102" t="n">
        <f aca="false">VALUES!$I52+(25.6-$E$15)+($D$15-0.5*$F$18-29.4)</f>
        <v>10.15</v>
      </c>
      <c r="K34" s="103" t="n">
        <f aca="false">F34*G34*J34</f>
        <v>0</v>
      </c>
      <c r="L34" s="72"/>
      <c r="M34" s="104" t="s">
        <v>137</v>
      </c>
      <c r="N34" s="104" t="s">
        <v>138</v>
      </c>
    </row>
    <row r="35" customFormat="false" ht="13.05" hidden="false" customHeight="true" outlineLevel="0" collapsed="false">
      <c r="A35" s="79" t="n">
        <v>8</v>
      </c>
      <c r="B35" s="80" t="s">
        <v>139</v>
      </c>
      <c r="C35" s="80"/>
      <c r="D35" s="80"/>
      <c r="E35" s="80"/>
      <c r="F35" s="87"/>
      <c r="G35" s="87" t="n">
        <v>2.28</v>
      </c>
      <c r="H35" s="102" t="n">
        <f aca="false">VALUES!$F53+(25.6-$E$9)+($D$9-0.5*$F$12-29.4)</f>
        <v>14.65</v>
      </c>
      <c r="I35" s="103" t="n">
        <f aca="false">F35*G35*H35</f>
        <v>0</v>
      </c>
      <c r="J35" s="102" t="n">
        <f aca="false">VALUES!$I53+(25.6-$E$15)+($D$15-0.5*$F$18-29.4)</f>
        <v>5.85</v>
      </c>
      <c r="K35" s="103" t="n">
        <f aca="false">F35*G35*J35</f>
        <v>0</v>
      </c>
      <c r="L35" s="72"/>
      <c r="M35" s="105"/>
      <c r="N35" s="105"/>
      <c r="O35" s="104" t="n">
        <f aca="false">VALUES!$C$21</f>
        <v>6</v>
      </c>
      <c r="P35" s="104" t="n">
        <f aca="false">VALUES!$D$21</f>
        <v>7</v>
      </c>
      <c r="Q35" s="104" t="n">
        <f aca="false">VALUES!$E$21</f>
        <v>8</v>
      </c>
      <c r="R35" s="104" t="n">
        <f aca="false">VALUES!$F$21</f>
        <v>9</v>
      </c>
      <c r="S35" s="104" t="n">
        <f aca="false">VALUES!$G$21</f>
        <v>10</v>
      </c>
      <c r="T35" s="104" t="n">
        <f aca="false">VALUES!$H$21</f>
        <v>11</v>
      </c>
      <c r="U35" s="104" t="n">
        <f aca="false">VALUES!$I$21</f>
        <v>12</v>
      </c>
      <c r="V35" s="104" t="n">
        <f aca="false">VALUES!$J$21</f>
        <v>13</v>
      </c>
      <c r="W35" s="104" t="n">
        <f aca="false">VALUES!$K$21</f>
        <v>14</v>
      </c>
      <c r="X35" s="104" t="n">
        <f aca="false">VALUES!$L$21</f>
        <v>15</v>
      </c>
      <c r="Y35" s="104" t="n">
        <f aca="false">VALUES!$M$21</f>
        <v>16</v>
      </c>
      <c r="Z35" s="104" t="n">
        <f aca="false">VALUES!$N$21</f>
        <v>17</v>
      </c>
      <c r="AA35" s="104" t="n">
        <f aca="false">VALUES!$O$21</f>
        <v>18</v>
      </c>
    </row>
    <row r="36" customFormat="false" ht="13.05" hidden="false" customHeight="true" outlineLevel="0" collapsed="false">
      <c r="A36" s="79" t="n">
        <v>9</v>
      </c>
      <c r="B36" s="80" t="s">
        <v>140</v>
      </c>
      <c r="C36" s="80"/>
      <c r="D36" s="80"/>
      <c r="E36" s="80"/>
      <c r="F36" s="87"/>
      <c r="G36" s="87" t="n">
        <v>5.23</v>
      </c>
      <c r="H36" s="102" t="n">
        <f aca="false">M36+(25.6-$E$9)+($D$9-0.5*$F$12-29.4)</f>
        <v>4.15000000000001</v>
      </c>
      <c r="I36" s="103" t="n">
        <f aca="false">F36*G36*H36</f>
        <v>0</v>
      </c>
      <c r="J36" s="102" t="n">
        <f aca="false">N36+(25.6-$E$15)+($D$15-0.5*$F$18-29.4)</f>
        <v>-0.75</v>
      </c>
      <c r="K36" s="103" t="n">
        <f aca="false">F36*G36*J36</f>
        <v>-0</v>
      </c>
      <c r="L36" s="72"/>
      <c r="M36" s="106" t="n">
        <f aca="false">INDEX(O36:AA36,1,MATCH(MAX($O$64:$AA$64),$O$64:$AA$64,0))</f>
        <v>0</v>
      </c>
      <c r="N36" s="107" t="n">
        <f aca="false">INDEX(O36:AA36,1,MATCH(MAX($O$65:$AA$65),$O$65:$AA$65,0))</f>
        <v>0</v>
      </c>
      <c r="O36" s="108" t="n">
        <f aca="false">VALUES!C$61</f>
        <v>-1.1</v>
      </c>
      <c r="P36" s="108" t="n">
        <f aca="false">VALUES!D$61</f>
        <v>-1.1</v>
      </c>
      <c r="Q36" s="108" t="n">
        <f aca="false">VALUES!E$61</f>
        <v>0</v>
      </c>
      <c r="R36" s="108" t="n">
        <f aca="false">VALUES!F$61</f>
        <v>1.1</v>
      </c>
      <c r="S36" s="108" t="n">
        <f aca="false">VALUES!G$61</f>
        <v>2.2</v>
      </c>
      <c r="T36" s="108" t="n">
        <f aca="false">VALUES!H$61</f>
        <v>3.9</v>
      </c>
      <c r="U36" s="108" t="n">
        <f aca="false">VALUES!I$61</f>
        <v>5</v>
      </c>
      <c r="V36" s="108" t="n">
        <f aca="false">VALUES!J$61</f>
        <v>6.7</v>
      </c>
      <c r="W36" s="108" t="n">
        <f aca="false">VALUES!K$61</f>
        <v>7.2</v>
      </c>
      <c r="X36" s="108" t="n">
        <f aca="false">VALUES!L$61</f>
        <v>7.8</v>
      </c>
      <c r="Y36" s="108" t="n">
        <f aca="false">VALUES!M$61</f>
        <v>7.8</v>
      </c>
      <c r="Z36" s="108" t="n">
        <f aca="false">VALUES!N$61</f>
        <v>7.2</v>
      </c>
      <c r="AA36" s="108" t="n">
        <f aca="false">VALUES!O$61</f>
        <v>6.7</v>
      </c>
    </row>
    <row r="37" customFormat="false" ht="13.05" hidden="false" customHeight="true" outlineLevel="0" collapsed="false">
      <c r="A37" s="79" t="n">
        <v>10</v>
      </c>
      <c r="B37" s="80" t="s">
        <v>141</v>
      </c>
      <c r="C37" s="80"/>
      <c r="D37" s="80"/>
      <c r="E37" s="80"/>
      <c r="F37" s="87"/>
      <c r="G37" s="87" t="n">
        <v>5.23</v>
      </c>
      <c r="H37" s="102" t="n">
        <f aca="false">M37+(25.6-$E$9)+($D$9-0.5*$F$12-29.4)</f>
        <v>4.15000000000001</v>
      </c>
      <c r="I37" s="103" t="n">
        <f aca="false">F37*G37*H37</f>
        <v>0</v>
      </c>
      <c r="J37" s="102" t="n">
        <f aca="false">N37+(25.6-$E$15)+($D$15-0.5*$F$18-29.4)</f>
        <v>-0.75</v>
      </c>
      <c r="K37" s="103" t="n">
        <f aca="false">F37*G37*J37</f>
        <v>-0</v>
      </c>
      <c r="L37" s="72"/>
      <c r="M37" s="109" t="n">
        <f aca="false">INDEX(O37:AA37,1,MATCH(MAX($O$64:$AA$64),$O$64:$AA$64,0))</f>
        <v>0</v>
      </c>
      <c r="N37" s="110" t="n">
        <f aca="false">INDEX(O37:AA37,1,MATCH(MAX($O$65:$AA$65),$O$65:$AA$65,0))</f>
        <v>0</v>
      </c>
      <c r="O37" s="108" t="n">
        <f aca="false">VALUES!C$61</f>
        <v>-1.1</v>
      </c>
      <c r="P37" s="108" t="n">
        <f aca="false">VALUES!D$61</f>
        <v>-1.1</v>
      </c>
      <c r="Q37" s="108" t="n">
        <f aca="false">VALUES!E$61</f>
        <v>0</v>
      </c>
      <c r="R37" s="108" t="n">
        <f aca="false">VALUES!F$61</f>
        <v>1.1</v>
      </c>
      <c r="S37" s="108" t="n">
        <f aca="false">VALUES!G$61</f>
        <v>2.2</v>
      </c>
      <c r="T37" s="108" t="n">
        <f aca="false">VALUES!H$61</f>
        <v>3.9</v>
      </c>
      <c r="U37" s="108" t="n">
        <f aca="false">VALUES!I$61</f>
        <v>5</v>
      </c>
      <c r="V37" s="108" t="n">
        <f aca="false">VALUES!J$61</f>
        <v>6.7</v>
      </c>
      <c r="W37" s="108" t="n">
        <f aca="false">VALUES!K$61</f>
        <v>7.2</v>
      </c>
      <c r="X37" s="108" t="n">
        <f aca="false">VALUES!L$61</f>
        <v>7.8</v>
      </c>
      <c r="Y37" s="108" t="n">
        <f aca="false">VALUES!M$61</f>
        <v>7.8</v>
      </c>
      <c r="Z37" s="108" t="n">
        <f aca="false">VALUES!N$61</f>
        <v>7.2</v>
      </c>
      <c r="AA37" s="108" t="n">
        <f aca="false">VALUES!O$61</f>
        <v>6.7</v>
      </c>
    </row>
    <row r="38" customFormat="false" ht="12.8" hidden="false" customHeight="true" outlineLevel="0" collapsed="false">
      <c r="A38" s="79" t="n">
        <v>11</v>
      </c>
      <c r="B38" s="80" t="s">
        <v>142</v>
      </c>
      <c r="C38" s="80"/>
      <c r="D38" s="80"/>
      <c r="E38" s="80"/>
      <c r="F38" s="87" t="n">
        <f aca="false">F30*0.3</f>
        <v>20.7</v>
      </c>
      <c r="G38" s="87" t="n">
        <v>5.23</v>
      </c>
      <c r="H38" s="102" t="n">
        <f aca="false">M38+(25.6-$E$9)+($D$9-0.5*$F$12-29.4)</f>
        <v>4.15000000000001</v>
      </c>
      <c r="I38" s="103" t="n">
        <f aca="false">F38*G38*H38</f>
        <v>449.283150000001</v>
      </c>
      <c r="J38" s="102" t="n">
        <f aca="false">N38+(25.6-$E$15)+($D$15-0.5*$F$18-29.4)</f>
        <v>-0.75</v>
      </c>
      <c r="K38" s="103" t="n">
        <f aca="false">F38*G38*J38</f>
        <v>-81.19575</v>
      </c>
      <c r="L38" s="72"/>
      <c r="M38" s="109" t="n">
        <f aca="false">INDEX(O38:AA38,1,MATCH(MAX($O$64:$AA$64),$O$64:$AA$64,0))</f>
        <v>0</v>
      </c>
      <c r="N38" s="110" t="n">
        <f aca="false">INDEX(O38:AA38,1,MATCH(MAX($O$65:$AA$65),$O$65:$AA$65,0))</f>
        <v>0</v>
      </c>
      <c r="O38" s="108" t="n">
        <f aca="false">VALUES!C$61</f>
        <v>-1.1</v>
      </c>
      <c r="P38" s="108" t="n">
        <f aca="false">VALUES!D$61</f>
        <v>-1.1</v>
      </c>
      <c r="Q38" s="108" t="n">
        <f aca="false">VALUES!E$61</f>
        <v>0</v>
      </c>
      <c r="R38" s="108" t="n">
        <f aca="false">VALUES!F$61</f>
        <v>1.1</v>
      </c>
      <c r="S38" s="108" t="n">
        <f aca="false">VALUES!G$61</f>
        <v>2.2</v>
      </c>
      <c r="T38" s="108" t="n">
        <f aca="false">VALUES!H$61</f>
        <v>3.9</v>
      </c>
      <c r="U38" s="108" t="n">
        <f aca="false">VALUES!I$61</f>
        <v>5</v>
      </c>
      <c r="V38" s="108" t="n">
        <f aca="false">VALUES!J$61</f>
        <v>6.7</v>
      </c>
      <c r="W38" s="108" t="n">
        <f aca="false">VALUES!K$61</f>
        <v>7.2</v>
      </c>
      <c r="X38" s="108" t="n">
        <f aca="false">VALUES!L$61</f>
        <v>7.8</v>
      </c>
      <c r="Y38" s="108" t="n">
        <f aca="false">VALUES!M$61</f>
        <v>7.8</v>
      </c>
      <c r="Z38" s="108" t="n">
        <f aca="false">VALUES!N$61</f>
        <v>7.2</v>
      </c>
      <c r="AA38" s="108" t="n">
        <f aca="false">VALUES!O$61</f>
        <v>6.7</v>
      </c>
    </row>
    <row r="39" customFormat="false" ht="13.05" hidden="false" customHeight="true" outlineLevel="0" collapsed="false">
      <c r="A39" s="79" t="n">
        <v>12</v>
      </c>
      <c r="B39" s="80" t="s">
        <v>143</v>
      </c>
      <c r="C39" s="80"/>
      <c r="D39" s="80"/>
      <c r="E39" s="80"/>
      <c r="F39" s="87"/>
      <c r="G39" s="87" t="n">
        <v>5.23</v>
      </c>
      <c r="H39" s="102" t="n">
        <f aca="false">M39+(25.6-$E$9)+($D$9-0.5*$F$12-29.4)</f>
        <v>4.15000000000001</v>
      </c>
      <c r="I39" s="103" t="n">
        <f aca="false">F39*G39*H39</f>
        <v>0</v>
      </c>
      <c r="J39" s="102" t="n">
        <f aca="false">N39+(25.6-$E$15)+($D$15-0.5*$F$18-29.4)</f>
        <v>-0.75</v>
      </c>
      <c r="K39" s="103" t="n">
        <f aca="false">F39*G39*J39</f>
        <v>-0</v>
      </c>
      <c r="L39" s="72"/>
      <c r="M39" s="109" t="n">
        <f aca="false">INDEX(O39:AA39,1,MATCH(MAX($O$64:$AA$64),$O$64:$AA$64,0))</f>
        <v>0</v>
      </c>
      <c r="N39" s="110" t="n">
        <f aca="false">INDEX(O39:AA39,1,MATCH(MAX($O$65:$AA$65),$O$65:$AA$65,0))</f>
        <v>0</v>
      </c>
      <c r="O39" s="108" t="n">
        <f aca="false">VALUES!C$61</f>
        <v>-1.1</v>
      </c>
      <c r="P39" s="108" t="n">
        <f aca="false">VALUES!D$61</f>
        <v>-1.1</v>
      </c>
      <c r="Q39" s="108" t="n">
        <f aca="false">VALUES!E$61</f>
        <v>0</v>
      </c>
      <c r="R39" s="108" t="n">
        <f aca="false">VALUES!F$61</f>
        <v>1.1</v>
      </c>
      <c r="S39" s="108" t="n">
        <f aca="false">VALUES!G$61</f>
        <v>2.2</v>
      </c>
      <c r="T39" s="108" t="n">
        <f aca="false">VALUES!H$61</f>
        <v>3.9</v>
      </c>
      <c r="U39" s="108" t="n">
        <f aca="false">VALUES!I$61</f>
        <v>5</v>
      </c>
      <c r="V39" s="108" t="n">
        <f aca="false">VALUES!J$61</f>
        <v>6.7</v>
      </c>
      <c r="W39" s="108" t="n">
        <f aca="false">VALUES!K$61</f>
        <v>7.2</v>
      </c>
      <c r="X39" s="108" t="n">
        <f aca="false">VALUES!L$61</f>
        <v>7.8</v>
      </c>
      <c r="Y39" s="108" t="n">
        <f aca="false">VALUES!M$61</f>
        <v>7.8</v>
      </c>
      <c r="Z39" s="108" t="n">
        <f aca="false">VALUES!N$61</f>
        <v>7.2</v>
      </c>
      <c r="AA39" s="108" t="n">
        <f aca="false">VALUES!O$61</f>
        <v>6.7</v>
      </c>
    </row>
    <row r="40" customFormat="false" ht="12.8" hidden="false" customHeight="true" outlineLevel="0" collapsed="false">
      <c r="A40" s="79" t="n">
        <v>13</v>
      </c>
      <c r="B40" s="80" t="s">
        <v>144</v>
      </c>
      <c r="C40" s="80"/>
      <c r="D40" s="80"/>
      <c r="E40" s="80"/>
      <c r="F40" s="87" t="n">
        <f aca="false">F32*0.3</f>
        <v>4.83</v>
      </c>
      <c r="G40" s="87" t="n">
        <v>5.23</v>
      </c>
      <c r="H40" s="102" t="n">
        <f aca="false">M40+(25.6-$E$9)+($D$9-0.5*$F$12-29.4)</f>
        <v>4.15000000000001</v>
      </c>
      <c r="I40" s="103" t="n">
        <f aca="false">F40*G40*H40</f>
        <v>104.832735</v>
      </c>
      <c r="J40" s="102" t="n">
        <f aca="false">N40+(25.6-$E$15)+($D$15-0.5*$F$18-29.4)</f>
        <v>-0.75</v>
      </c>
      <c r="K40" s="103" t="n">
        <f aca="false">F40*G40*J40</f>
        <v>-18.945675</v>
      </c>
      <c r="L40" s="72"/>
      <c r="M40" s="109" t="n">
        <f aca="false">INDEX(O40:AA40,1,MATCH(MAX($O$64:$AA$64),$O$64:$AA$64,0))</f>
        <v>0</v>
      </c>
      <c r="N40" s="110" t="n">
        <f aca="false">INDEX(O40:AA40,1,MATCH(MAX($O$65:$AA$65),$O$65:$AA$65,0))</f>
        <v>0</v>
      </c>
      <c r="O40" s="108" t="n">
        <f aca="false">VALUES!C$61</f>
        <v>-1.1</v>
      </c>
      <c r="P40" s="108" t="n">
        <f aca="false">VALUES!D$61</f>
        <v>-1.1</v>
      </c>
      <c r="Q40" s="108" t="n">
        <f aca="false">VALUES!E$61</f>
        <v>0</v>
      </c>
      <c r="R40" s="108" t="n">
        <f aca="false">VALUES!F$61</f>
        <v>1.1</v>
      </c>
      <c r="S40" s="108" t="n">
        <f aca="false">VALUES!G$61</f>
        <v>2.2</v>
      </c>
      <c r="T40" s="108" t="n">
        <f aca="false">VALUES!H$61</f>
        <v>3.9</v>
      </c>
      <c r="U40" s="108" t="n">
        <f aca="false">VALUES!I$61</f>
        <v>5</v>
      </c>
      <c r="V40" s="108" t="n">
        <f aca="false">VALUES!J$61</f>
        <v>6.7</v>
      </c>
      <c r="W40" s="108" t="n">
        <f aca="false">VALUES!K$61</f>
        <v>7.2</v>
      </c>
      <c r="X40" s="108" t="n">
        <f aca="false">VALUES!L$61</f>
        <v>7.8</v>
      </c>
      <c r="Y40" s="108" t="n">
        <f aca="false">VALUES!M$61</f>
        <v>7.8</v>
      </c>
      <c r="Z40" s="108" t="n">
        <f aca="false">VALUES!N$61</f>
        <v>7.2</v>
      </c>
      <c r="AA40" s="108" t="n">
        <f aca="false">VALUES!O$61</f>
        <v>6.7</v>
      </c>
    </row>
    <row r="41" customFormat="false" ht="13.05" hidden="false" customHeight="true" outlineLevel="0" collapsed="false">
      <c r="A41" s="79" t="n">
        <v>14</v>
      </c>
      <c r="B41" s="80" t="s">
        <v>145</v>
      </c>
      <c r="C41" s="80"/>
      <c r="D41" s="80"/>
      <c r="E41" s="80"/>
      <c r="F41" s="87"/>
      <c r="G41" s="87" t="n">
        <v>5.23</v>
      </c>
      <c r="H41" s="102" t="n">
        <f aca="false">M41+(25.6-$E$9)+($D$9-0.5*$F$12-29.4)</f>
        <v>4.15000000000001</v>
      </c>
      <c r="I41" s="103" t="n">
        <f aca="false">F41*G41*H41</f>
        <v>0</v>
      </c>
      <c r="J41" s="102" t="n">
        <f aca="false">N41+(25.6-$E$15)+($D$15-0.5*$F$18-29.4)</f>
        <v>-0.75</v>
      </c>
      <c r="K41" s="103" t="n">
        <f aca="false">F41*G41*J41</f>
        <v>-0</v>
      </c>
      <c r="L41" s="72"/>
      <c r="M41" s="109" t="n">
        <f aca="false">INDEX(O41:AA41,1,MATCH(MAX($O$64:$AA$64),$O$64:$AA$64,0))</f>
        <v>0</v>
      </c>
      <c r="N41" s="110" t="n">
        <f aca="false">INDEX(O41:AA41,1,MATCH(MAX($O$65:$AA$65),$O$65:$AA$65,0))</f>
        <v>0</v>
      </c>
      <c r="O41" s="108" t="n">
        <f aca="false">VALUES!C$61</f>
        <v>-1.1</v>
      </c>
      <c r="P41" s="108" t="n">
        <f aca="false">VALUES!D$61</f>
        <v>-1.1</v>
      </c>
      <c r="Q41" s="108" t="n">
        <f aca="false">VALUES!E$61</f>
        <v>0</v>
      </c>
      <c r="R41" s="108" t="n">
        <f aca="false">VALUES!F$61</f>
        <v>1.1</v>
      </c>
      <c r="S41" s="108" t="n">
        <f aca="false">VALUES!G$61</f>
        <v>2.2</v>
      </c>
      <c r="T41" s="108" t="n">
        <f aca="false">VALUES!H$61</f>
        <v>3.9</v>
      </c>
      <c r="U41" s="108" t="n">
        <f aca="false">VALUES!I$61</f>
        <v>5</v>
      </c>
      <c r="V41" s="108" t="n">
        <f aca="false">VALUES!J$61</f>
        <v>6.7</v>
      </c>
      <c r="W41" s="108" t="n">
        <f aca="false">VALUES!K$61</f>
        <v>7.2</v>
      </c>
      <c r="X41" s="108" t="n">
        <f aca="false">VALUES!L$61</f>
        <v>7.8</v>
      </c>
      <c r="Y41" s="108" t="n">
        <f aca="false">VALUES!M$61</f>
        <v>7.8</v>
      </c>
      <c r="Z41" s="108" t="n">
        <f aca="false">VALUES!N$61</f>
        <v>7.2</v>
      </c>
      <c r="AA41" s="108" t="n">
        <f aca="false">VALUES!O$61</f>
        <v>6.7</v>
      </c>
    </row>
    <row r="42" customFormat="false" ht="13.05" hidden="false" customHeight="true" outlineLevel="0" collapsed="false">
      <c r="A42" s="79" t="n">
        <v>15</v>
      </c>
      <c r="B42" s="80" t="s">
        <v>146</v>
      </c>
      <c r="C42" s="80"/>
      <c r="D42" s="80"/>
      <c r="E42" s="80"/>
      <c r="F42" s="87"/>
      <c r="G42" s="87" t="n">
        <v>5.23</v>
      </c>
      <c r="H42" s="102" t="n">
        <f aca="false">M42+(25.6-$E$9)+($D$9-0.5*$F$12-29.4)</f>
        <v>4.15000000000001</v>
      </c>
      <c r="I42" s="103" t="n">
        <f aca="false">F42*G42*H42</f>
        <v>0</v>
      </c>
      <c r="J42" s="102" t="n">
        <f aca="false">N42+(25.6-$E$15)+($D$15-0.5*$F$18-29.4)</f>
        <v>-0.75</v>
      </c>
      <c r="K42" s="103" t="n">
        <f aca="false">F42*G42*J42</f>
        <v>-0</v>
      </c>
      <c r="L42" s="72"/>
      <c r="M42" s="109" t="n">
        <f aca="false">INDEX(O42:AA42,1,MATCH(MAX($O$64:$AA$64),$O$64:$AA$64,0))</f>
        <v>0</v>
      </c>
      <c r="N42" s="110" t="n">
        <f aca="false">INDEX(O42:AA42,1,MATCH(MAX($O$65:$AA$65),$O$65:$AA$65,0))</f>
        <v>0</v>
      </c>
      <c r="O42" s="108" t="n">
        <f aca="false">VALUES!C$61</f>
        <v>-1.1</v>
      </c>
      <c r="P42" s="108" t="n">
        <f aca="false">VALUES!D$61</f>
        <v>-1.1</v>
      </c>
      <c r="Q42" s="108" t="n">
        <f aca="false">VALUES!E$61</f>
        <v>0</v>
      </c>
      <c r="R42" s="108" t="n">
        <f aca="false">VALUES!F$61</f>
        <v>1.1</v>
      </c>
      <c r="S42" s="108" t="n">
        <f aca="false">VALUES!G$61</f>
        <v>2.2</v>
      </c>
      <c r="T42" s="108" t="n">
        <f aca="false">VALUES!H$61</f>
        <v>3.9</v>
      </c>
      <c r="U42" s="108" t="n">
        <f aca="false">VALUES!I$61</f>
        <v>5</v>
      </c>
      <c r="V42" s="108" t="n">
        <f aca="false">VALUES!J$61</f>
        <v>6.7</v>
      </c>
      <c r="W42" s="108" t="n">
        <f aca="false">VALUES!K$61</f>
        <v>7.2</v>
      </c>
      <c r="X42" s="108" t="n">
        <f aca="false">VALUES!L$61</f>
        <v>7.8</v>
      </c>
      <c r="Y42" s="108" t="n">
        <f aca="false">VALUES!M$61</f>
        <v>7.8</v>
      </c>
      <c r="Z42" s="108" t="n">
        <f aca="false">VALUES!N$61</f>
        <v>7.2</v>
      </c>
      <c r="AA42" s="108" t="n">
        <f aca="false">VALUES!O$61</f>
        <v>6.7</v>
      </c>
    </row>
    <row r="43" customFormat="false" ht="13.05" hidden="false" customHeight="true" outlineLevel="0" collapsed="false">
      <c r="A43" s="79" t="n">
        <v>16</v>
      </c>
      <c r="B43" s="80" t="s">
        <v>147</v>
      </c>
      <c r="C43" s="80"/>
      <c r="D43" s="80"/>
      <c r="E43" s="80"/>
      <c r="F43" s="87"/>
      <c r="G43" s="87" t="n">
        <v>5.23</v>
      </c>
      <c r="H43" s="102" t="n">
        <f aca="false">M43+(25.6-$E$9)+($D$9-0.5*$F$12-29.4)</f>
        <v>4.15000000000001</v>
      </c>
      <c r="I43" s="103" t="n">
        <f aca="false">F43*G43*H43</f>
        <v>0</v>
      </c>
      <c r="J43" s="102" t="n">
        <f aca="false">N43+(25.6-$E$15)+($D$15-0.5*$F$18-29.4)</f>
        <v>-0.75</v>
      </c>
      <c r="K43" s="103" t="n">
        <f aca="false">F43*G43*J43</f>
        <v>-0</v>
      </c>
      <c r="L43" s="72"/>
      <c r="M43" s="109" t="n">
        <f aca="false">INDEX(O43:AA43,1,MATCH(MAX($O$64:$AA$64),$O$64:$AA$64,0))</f>
        <v>0</v>
      </c>
      <c r="N43" s="110" t="n">
        <f aca="false">INDEX(O43:AA43,1,MATCH(MAX($O$65:$AA$65),$O$65:$AA$65,0))</f>
        <v>0</v>
      </c>
      <c r="O43" s="108" t="n">
        <f aca="false">VALUES!C$61</f>
        <v>-1.1</v>
      </c>
      <c r="P43" s="108" t="n">
        <f aca="false">VALUES!D$61</f>
        <v>-1.1</v>
      </c>
      <c r="Q43" s="108" t="n">
        <f aca="false">VALUES!E$61</f>
        <v>0</v>
      </c>
      <c r="R43" s="108" t="n">
        <f aca="false">VALUES!F$61</f>
        <v>1.1</v>
      </c>
      <c r="S43" s="108" t="n">
        <f aca="false">VALUES!G$61</f>
        <v>2.2</v>
      </c>
      <c r="T43" s="108" t="n">
        <f aca="false">VALUES!H$61</f>
        <v>3.9</v>
      </c>
      <c r="U43" s="108" t="n">
        <f aca="false">VALUES!I$61</f>
        <v>5</v>
      </c>
      <c r="V43" s="108" t="n">
        <f aca="false">VALUES!J$61</f>
        <v>6.7</v>
      </c>
      <c r="W43" s="108" t="n">
        <f aca="false">VALUES!K$61</f>
        <v>7.2</v>
      </c>
      <c r="X43" s="108" t="n">
        <f aca="false">VALUES!L$61</f>
        <v>7.8</v>
      </c>
      <c r="Y43" s="108" t="n">
        <f aca="false">VALUES!M$61</f>
        <v>7.8</v>
      </c>
      <c r="Z43" s="108" t="n">
        <f aca="false">VALUES!N$61</f>
        <v>7.2</v>
      </c>
      <c r="AA43" s="108" t="n">
        <f aca="false">VALUES!O$61</f>
        <v>6.7</v>
      </c>
    </row>
    <row r="44" customFormat="false" ht="12.8" hidden="false" customHeight="true" outlineLevel="0" collapsed="false">
      <c r="A44" s="79" t="n">
        <v>17</v>
      </c>
      <c r="B44" s="80" t="s">
        <v>148</v>
      </c>
      <c r="C44" s="80"/>
      <c r="D44" s="80"/>
      <c r="E44" s="80"/>
      <c r="F44" s="87" t="n">
        <f aca="false">(64-15-3.5)*4.6</f>
        <v>209.3</v>
      </c>
      <c r="G44" s="87" t="n">
        <v>2.28</v>
      </c>
      <c r="H44" s="102" t="n">
        <f aca="false">$D$9-$E$9-3</f>
        <v>10.2</v>
      </c>
      <c r="I44" s="103" t="n">
        <f aca="false">F44*G44*H44</f>
        <v>4867.4808</v>
      </c>
      <c r="J44" s="102" t="n">
        <f aca="false">$D$15-$E$15-3</f>
        <v>5.3</v>
      </c>
      <c r="K44" s="103" t="n">
        <f aca="false">F44*G44*J44</f>
        <v>2529.1812</v>
      </c>
      <c r="L44" s="72"/>
      <c r="M44" s="111"/>
      <c r="N44" s="111"/>
    </row>
    <row r="45" customFormat="false" ht="13.05" hidden="false" customHeight="true" outlineLevel="0" collapsed="false">
      <c r="A45" s="79" t="n">
        <v>18</v>
      </c>
      <c r="B45" s="80" t="s">
        <v>149</v>
      </c>
      <c r="C45" s="80"/>
      <c r="D45" s="80"/>
      <c r="E45" s="80"/>
      <c r="F45" s="87"/>
      <c r="G45" s="87" t="n">
        <v>7.1</v>
      </c>
      <c r="H45" s="102" t="n">
        <f aca="false">$D$9-$E$9-3</f>
        <v>10.2</v>
      </c>
      <c r="I45" s="103" t="n">
        <f aca="false">F45*G45*H45</f>
        <v>0</v>
      </c>
      <c r="J45" s="102" t="n">
        <f aca="false">$D$15-$E$15-3</f>
        <v>5.3</v>
      </c>
      <c r="K45" s="103" t="n">
        <f aca="false">F45*G45*J45</f>
        <v>0</v>
      </c>
      <c r="L45" s="72"/>
      <c r="M45" s="111"/>
      <c r="N45" s="111"/>
    </row>
    <row r="46" customFormat="false" ht="13.05" hidden="false" customHeight="true" outlineLevel="0" collapsed="false">
      <c r="A46" s="79" t="n">
        <v>19</v>
      </c>
      <c r="B46" s="80" t="s">
        <v>150</v>
      </c>
      <c r="C46" s="80"/>
      <c r="D46" s="80"/>
      <c r="E46" s="80"/>
      <c r="F46" s="87" t="n">
        <f aca="false">B85</f>
        <v>155</v>
      </c>
      <c r="G46" s="87" t="n">
        <v>3.19</v>
      </c>
      <c r="H46" s="102" t="n">
        <f aca="false">$D$9-$E$9-3</f>
        <v>10.2</v>
      </c>
      <c r="I46" s="103" t="n">
        <f aca="false">F46*G46*H46</f>
        <v>5043.39</v>
      </c>
      <c r="J46" s="102" t="n">
        <f aca="false">$D$15-$E$15-3</f>
        <v>5.3</v>
      </c>
      <c r="K46" s="103" t="n">
        <f aca="false">F46*G46*J46</f>
        <v>2620.585</v>
      </c>
      <c r="L46" s="72"/>
      <c r="M46" s="111"/>
      <c r="N46" s="111"/>
    </row>
    <row r="47" customFormat="false" ht="13.05" hidden="false" customHeight="true" outlineLevel="0" collapsed="false">
      <c r="A47" s="79" t="n">
        <v>20</v>
      </c>
      <c r="B47" s="80" t="s">
        <v>151</v>
      </c>
      <c r="C47" s="80"/>
      <c r="D47" s="80"/>
      <c r="E47" s="80"/>
      <c r="F47" s="87"/>
      <c r="G47" s="87" t="n">
        <v>0.7</v>
      </c>
      <c r="H47" s="102" t="n">
        <f aca="false">VALUES!$F$39+(25.6-$E$9)+($D$9-0.5*$F$12-29.4)</f>
        <v>29.65</v>
      </c>
      <c r="I47" s="103" t="n">
        <f aca="false">F47*G47*H47</f>
        <v>0</v>
      </c>
      <c r="J47" s="102" t="n">
        <f aca="false">VALUES!$I$39+(25.6-$E$15)+($D$15-0.5*$F$18-29.4)</f>
        <v>23.75</v>
      </c>
      <c r="K47" s="103" t="n">
        <f aca="false">F47*G47*J47</f>
        <v>0</v>
      </c>
      <c r="M47" s="111"/>
      <c r="N47" s="111"/>
    </row>
    <row r="48" customFormat="false" ht="24.25" hidden="false" customHeight="true" outlineLevel="0" collapsed="false">
      <c r="A48" s="79" t="n">
        <v>21</v>
      </c>
      <c r="B48" s="80" t="s">
        <v>152</v>
      </c>
      <c r="C48" s="80"/>
      <c r="D48" s="80"/>
      <c r="E48" s="80"/>
      <c r="F48" s="87" t="n">
        <f aca="false">B85</f>
        <v>155</v>
      </c>
      <c r="G48" s="87" t="n">
        <v>3.19</v>
      </c>
      <c r="H48" s="102" t="n">
        <f aca="false">$D$9-$E$9-3</f>
        <v>10.2</v>
      </c>
      <c r="I48" s="103" t="n">
        <f aca="false">F48*G48*H48</f>
        <v>5043.39</v>
      </c>
      <c r="J48" s="102" t="n">
        <f aca="false">$D$15-$E$15-3</f>
        <v>5.3</v>
      </c>
      <c r="K48" s="103" t="n">
        <f aca="false">F48*G48*J48</f>
        <v>2620.585</v>
      </c>
      <c r="M48" s="111"/>
      <c r="N48" s="111"/>
    </row>
    <row r="49" customFormat="false" ht="13.05" hidden="false" customHeight="true" outlineLevel="0" collapsed="false">
      <c r="A49" s="79" t="n">
        <v>22</v>
      </c>
      <c r="B49" s="80" t="s">
        <v>153</v>
      </c>
      <c r="C49" s="80"/>
      <c r="D49" s="80"/>
      <c r="E49" s="80"/>
      <c r="F49" s="87"/>
      <c r="G49" s="87" t="n">
        <v>5.23</v>
      </c>
      <c r="H49" s="102" t="n">
        <f aca="false">M49+(25.6-$E$9)+($D$9-0.5*$F$12-29.4)</f>
        <v>4.15000000000001</v>
      </c>
      <c r="I49" s="103" t="n">
        <f aca="false">F49*G49*H49</f>
        <v>0</v>
      </c>
      <c r="J49" s="102" t="n">
        <f aca="false">N49+(25.6-$E$15)+($D$15-0.5*$F$18-29.4)</f>
        <v>-0.75</v>
      </c>
      <c r="K49" s="103" t="n">
        <f aca="false">F49*G49*J49</f>
        <v>-0</v>
      </c>
      <c r="M49" s="109" t="n">
        <f aca="false">INDEX(O49:AA49,1,MATCH(MAX($O$64:$AA$64),$O$64:$AA$64,0))</f>
        <v>0</v>
      </c>
      <c r="N49" s="110" t="n">
        <f aca="false">INDEX(O49:AA49,1,MATCH(MAX($O$65:$AA$65),$O$65:$AA$65,0))</f>
        <v>0</v>
      </c>
      <c r="O49" s="108" t="n">
        <f aca="false">VALUES!C$61</f>
        <v>-1.1</v>
      </c>
      <c r="P49" s="108" t="n">
        <f aca="false">VALUES!D$61</f>
        <v>-1.1</v>
      </c>
      <c r="Q49" s="108" t="n">
        <f aca="false">VALUES!E$61</f>
        <v>0</v>
      </c>
      <c r="R49" s="108" t="n">
        <f aca="false">VALUES!F$61</f>
        <v>1.1</v>
      </c>
      <c r="S49" s="108" t="n">
        <f aca="false">VALUES!G$61</f>
        <v>2.2</v>
      </c>
      <c r="T49" s="108" t="n">
        <f aca="false">VALUES!H$61</f>
        <v>3.9</v>
      </c>
      <c r="U49" s="108" t="n">
        <f aca="false">VALUES!I$61</f>
        <v>5</v>
      </c>
      <c r="V49" s="108" t="n">
        <f aca="false">VALUES!J$61</f>
        <v>6.7</v>
      </c>
      <c r="W49" s="108" t="n">
        <f aca="false">VALUES!K$61</f>
        <v>7.2</v>
      </c>
      <c r="X49" s="108" t="n">
        <f aca="false">VALUES!L$61</f>
        <v>7.8</v>
      </c>
      <c r="Y49" s="108" t="n">
        <f aca="false">VALUES!M$61</f>
        <v>7.8</v>
      </c>
      <c r="Z49" s="108" t="n">
        <f aca="false">VALUES!N$61</f>
        <v>7.2</v>
      </c>
      <c r="AA49" s="108" t="n">
        <f aca="false">VALUES!O$61</f>
        <v>6.7</v>
      </c>
    </row>
    <row r="50" customFormat="false" ht="13.05" hidden="false" customHeight="true" outlineLevel="0" collapsed="false">
      <c r="A50" s="79" t="n">
        <v>23</v>
      </c>
      <c r="B50" s="82" t="s">
        <v>154</v>
      </c>
      <c r="C50" s="82"/>
      <c r="D50" s="82"/>
      <c r="E50" s="82"/>
      <c r="F50" s="87"/>
      <c r="G50" s="87"/>
      <c r="H50" s="87"/>
      <c r="I50" s="103" t="n">
        <f aca="false">F50*G50*H50</f>
        <v>0</v>
      </c>
      <c r="J50" s="87"/>
      <c r="K50" s="103" t="n">
        <f aca="false">F50*G50*J50</f>
        <v>0</v>
      </c>
      <c r="L50" s="72"/>
      <c r="M50" s="111"/>
      <c r="N50" s="111"/>
    </row>
    <row r="51" s="117" customFormat="true" ht="13.05" hidden="false" customHeight="true" outlineLevel="0" collapsed="false">
      <c r="A51" s="112" t="s">
        <v>22</v>
      </c>
      <c r="B51" s="113" t="s">
        <v>155</v>
      </c>
      <c r="C51" s="113"/>
      <c r="D51" s="113"/>
      <c r="E51" s="113"/>
      <c r="F51" s="112"/>
      <c r="G51" s="112"/>
      <c r="H51" s="112"/>
      <c r="I51" s="114" t="n">
        <f aca="false">SUM(I28:I50)</f>
        <v>18052.503285</v>
      </c>
      <c r="J51" s="112"/>
      <c r="K51" s="114" t="n">
        <f aca="false">SUM(K28:K50)</f>
        <v>9505.87197499999</v>
      </c>
      <c r="L51" s="115"/>
      <c r="M51" s="116"/>
      <c r="N51" s="116"/>
      <c r="AMJ51" s="71"/>
    </row>
    <row r="52" s="117" customFormat="true" ht="12.8" hidden="false" customHeight="false" outlineLevel="0" collapsed="false">
      <c r="M52" s="116"/>
      <c r="N52" s="116"/>
    </row>
    <row r="53" customFormat="false" ht="13.05" hidden="false" customHeight="true" outlineLevel="0" collapsed="false">
      <c r="A53" s="101" t="s">
        <v>156</v>
      </c>
      <c r="B53" s="72"/>
      <c r="C53" s="72"/>
      <c r="D53" s="72"/>
      <c r="E53" s="72"/>
      <c r="F53" s="118" t="s">
        <v>97</v>
      </c>
      <c r="G53" s="118"/>
      <c r="H53" s="118"/>
      <c r="I53" s="119" t="s">
        <v>107</v>
      </c>
      <c r="J53" s="119"/>
      <c r="K53" s="119"/>
      <c r="L53" s="105"/>
      <c r="M53" s="120"/>
      <c r="N53" s="121"/>
    </row>
    <row r="54" customFormat="false" ht="35.4" hidden="false" customHeight="true" outlineLevel="0" collapsed="false">
      <c r="A54" s="118" t="s">
        <v>157</v>
      </c>
      <c r="B54" s="118" t="s">
        <v>121</v>
      </c>
      <c r="C54" s="118"/>
      <c r="D54" s="118" t="s">
        <v>158</v>
      </c>
      <c r="E54" s="118" t="s">
        <v>159</v>
      </c>
      <c r="F54" s="118" t="s">
        <v>160</v>
      </c>
      <c r="G54" s="118" t="s">
        <v>161</v>
      </c>
      <c r="H54" s="118" t="s">
        <v>162</v>
      </c>
      <c r="I54" s="118" t="s">
        <v>160</v>
      </c>
      <c r="J54" s="118" t="s">
        <v>161</v>
      </c>
      <c r="K54" s="118" t="s">
        <v>162</v>
      </c>
      <c r="L54" s="122" t="s">
        <v>163</v>
      </c>
      <c r="M54" s="123" t="n">
        <f aca="false">INDEX(O54:AA54,1,MATCH(MAX($O$64:$AA$64),$O$64:$AA$64,0))</f>
        <v>8</v>
      </c>
      <c r="N54" s="123" t="n">
        <f aca="false">INDEX(O54:AA54,1,MATCH(MAX($O$65:$AA$65),$O$65:$AA$65,0))</f>
        <v>8</v>
      </c>
      <c r="O54" s="104" t="n">
        <f aca="false">VALUES!$C$21</f>
        <v>6</v>
      </c>
      <c r="P54" s="104" t="n">
        <f aca="false">VALUES!$D$21</f>
        <v>7</v>
      </c>
      <c r="Q54" s="104" t="n">
        <f aca="false">VALUES!$E$21</f>
        <v>8</v>
      </c>
      <c r="R54" s="104" t="n">
        <f aca="false">VALUES!$F$21</f>
        <v>9</v>
      </c>
      <c r="S54" s="104" t="n">
        <f aca="false">VALUES!$G$21</f>
        <v>10</v>
      </c>
      <c r="T54" s="104" t="n">
        <f aca="false">VALUES!$H$21</f>
        <v>11</v>
      </c>
      <c r="U54" s="104" t="n">
        <f aca="false">VALUES!$I$21</f>
        <v>12</v>
      </c>
      <c r="V54" s="104" t="n">
        <f aca="false">VALUES!$J$21</f>
        <v>13</v>
      </c>
      <c r="W54" s="104" t="n">
        <f aca="false">VALUES!$K$21</f>
        <v>14</v>
      </c>
      <c r="X54" s="104" t="n">
        <f aca="false">VALUES!$L$21</f>
        <v>15</v>
      </c>
      <c r="Y54" s="104" t="n">
        <f aca="false">VALUES!$M$21</f>
        <v>16</v>
      </c>
      <c r="Z54" s="104" t="n">
        <f aca="false">VALUES!$N$21</f>
        <v>17</v>
      </c>
      <c r="AA54" s="104" t="n">
        <f aca="false">VALUES!$O$21</f>
        <v>18</v>
      </c>
    </row>
    <row r="55" customFormat="false" ht="13.05" hidden="false" customHeight="true" outlineLevel="0" collapsed="false">
      <c r="A55" s="79" t="n">
        <v>1</v>
      </c>
      <c r="B55" s="124" t="s">
        <v>140</v>
      </c>
      <c r="C55" s="124"/>
      <c r="D55" s="79" t="n">
        <f aca="false">F36</f>
        <v>0</v>
      </c>
      <c r="E55" s="87" t="n">
        <v>0.7</v>
      </c>
      <c r="F55" s="102" t="n">
        <f aca="false">M55</f>
        <v>0.65</v>
      </c>
      <c r="G55" s="79" t="n">
        <f aca="false">VALUES!$D$8</f>
        <v>237</v>
      </c>
      <c r="H55" s="125" t="n">
        <f aca="false">D55*G55*E55*F55</f>
        <v>0</v>
      </c>
      <c r="I55" s="102" t="n">
        <f aca="false">N55</f>
        <v>0.65</v>
      </c>
      <c r="J55" s="79" t="n">
        <f aca="false">VALUES!$F$8</f>
        <v>101</v>
      </c>
      <c r="K55" s="103" t="n">
        <f aca="false">D55*E55*I55*J55</f>
        <v>0</v>
      </c>
      <c r="L55" s="105"/>
      <c r="M55" s="109" t="n">
        <f aca="false">INDEX(O55:AA55,1,MATCH(MAX($O$64:$AA$64),$O$64:$AA$64,0))</f>
        <v>0.65</v>
      </c>
      <c r="N55" s="106" t="n">
        <f aca="false">INDEX(O55:AA55,1,MATCH(MAX($O$65:$AA$65),$O$65:$AA$65,0))</f>
        <v>0.65</v>
      </c>
      <c r="O55" s="70" t="n">
        <f aca="false">VALUES!$C$23</f>
        <v>0.73</v>
      </c>
      <c r="P55" s="70" t="n">
        <f aca="false">VALUES!$D$23</f>
        <v>0.66</v>
      </c>
      <c r="Q55" s="70" t="n">
        <f aca="false">VALUES!$E$23</f>
        <v>0.65</v>
      </c>
      <c r="R55" s="70" t="n">
        <f aca="false">VALUES!$F$23</f>
        <v>0.73</v>
      </c>
      <c r="S55" s="70" t="n">
        <f aca="false">VALUES!$G$23</f>
        <v>0.8</v>
      </c>
      <c r="T55" s="70" t="n">
        <f aca="false">VALUES!$H$23</f>
        <v>0.86</v>
      </c>
      <c r="U55" s="70" t="n">
        <f aca="false">VALUES!$I$23</f>
        <v>0.89</v>
      </c>
      <c r="V55" s="70" t="n">
        <f aca="false">VALUES!$J$23</f>
        <v>0.89</v>
      </c>
      <c r="W55" s="70" t="n">
        <f aca="false">VALUES!$K$23</f>
        <v>0.86</v>
      </c>
      <c r="X55" s="70" t="n">
        <f aca="false">VALUES!$L$23</f>
        <v>0.82</v>
      </c>
      <c r="Y55" s="70" t="n">
        <f aca="false">VALUES!$M$23</f>
        <v>0.75</v>
      </c>
      <c r="Z55" s="70" t="n">
        <f aca="false">VALUES!$N$23</f>
        <v>0.78</v>
      </c>
      <c r="AA55" s="70" t="n">
        <f aca="false">VALUES!$O$23</f>
        <v>0.91</v>
      </c>
    </row>
    <row r="56" customFormat="false" ht="13.05" hidden="false" customHeight="true" outlineLevel="0" collapsed="false">
      <c r="A56" s="79" t="n">
        <v>2</v>
      </c>
      <c r="B56" s="124" t="s">
        <v>141</v>
      </c>
      <c r="C56" s="124"/>
      <c r="D56" s="79" t="n">
        <f aca="false">F37</f>
        <v>0</v>
      </c>
      <c r="E56" s="87" t="n">
        <v>0.7</v>
      </c>
      <c r="F56" s="102" t="n">
        <f aca="false">M56</f>
        <v>0.74</v>
      </c>
      <c r="G56" s="79" t="n">
        <f aca="false">VALUES!$D$9</f>
        <v>625</v>
      </c>
      <c r="H56" s="103" t="n">
        <f aca="false">D56*G56*E56*F56</f>
        <v>0</v>
      </c>
      <c r="I56" s="102" t="n">
        <f aca="false">N56</f>
        <v>0.74</v>
      </c>
      <c r="J56" s="79" t="n">
        <f aca="false">VALUES!$F$9</f>
        <v>199</v>
      </c>
      <c r="K56" s="103" t="n">
        <f aca="false">D56*E56*I56*J56</f>
        <v>0</v>
      </c>
      <c r="L56" s="105"/>
      <c r="M56" s="109" t="n">
        <f aca="false">INDEX(O56:AA56,1,MATCH(MAX($O$64:$AA$64),$O$64:$AA$64,0))</f>
        <v>0.74</v>
      </c>
      <c r="N56" s="109" t="n">
        <f aca="false">INDEX(O56:AA56,1,MATCH(MAX($O$65:$AA$65),$O$65:$AA$65,0))</f>
        <v>0.74</v>
      </c>
      <c r="O56" s="70" t="n">
        <f aca="false">VALUES!$C$24</f>
        <v>0.56</v>
      </c>
      <c r="P56" s="70" t="n">
        <f aca="false">VALUES!$D$24</f>
        <v>0.76</v>
      </c>
      <c r="Q56" s="70" t="n">
        <f aca="false">VALUES!$E$24</f>
        <v>0.74</v>
      </c>
      <c r="R56" s="70" t="n">
        <f aca="false">VALUES!$F$24</f>
        <v>0.58</v>
      </c>
      <c r="S56" s="70" t="n">
        <f aca="false">VALUES!$G$24</f>
        <v>0.37</v>
      </c>
      <c r="T56" s="70" t="n">
        <f aca="false">VALUES!$H$24</f>
        <v>0.29</v>
      </c>
      <c r="U56" s="70" t="n">
        <f aca="false">VALUES!$I$24</f>
        <v>0.27</v>
      </c>
      <c r="V56" s="70" t="n">
        <f aca="false">VALUES!$J$24</f>
        <v>0.26</v>
      </c>
      <c r="W56" s="70" t="n">
        <f aca="false">VALUES!$K$24</f>
        <v>0.24</v>
      </c>
      <c r="X56" s="70" t="n">
        <f aca="false">VALUES!$L$24</f>
        <v>0.22</v>
      </c>
      <c r="Y56" s="70" t="n">
        <f aca="false">VALUES!$M$24</f>
        <v>0.2</v>
      </c>
      <c r="Z56" s="70" t="n">
        <f aca="false">VALUES!$N$24</f>
        <v>0.16</v>
      </c>
      <c r="AA56" s="70" t="n">
        <f aca="false">VALUES!$O$24</f>
        <v>0.12</v>
      </c>
    </row>
    <row r="57" customFormat="false" ht="13.05" hidden="false" customHeight="true" outlineLevel="0" collapsed="false">
      <c r="A57" s="79" t="n">
        <v>3</v>
      </c>
      <c r="B57" s="124" t="s">
        <v>142</v>
      </c>
      <c r="C57" s="124"/>
      <c r="D57" s="79" t="n">
        <f aca="false">F38</f>
        <v>20.7</v>
      </c>
      <c r="E57" s="87" t="n">
        <v>0.7</v>
      </c>
      <c r="F57" s="102" t="n">
        <f aca="false">M57</f>
        <v>0.8</v>
      </c>
      <c r="G57" s="79" t="n">
        <f aca="false">VALUES!$D$10</f>
        <v>644</v>
      </c>
      <c r="H57" s="103" t="n">
        <f aca="false">D57*G57*E57*F57</f>
        <v>7465.248</v>
      </c>
      <c r="I57" s="102" t="n">
        <f aca="false">N57</f>
        <v>0.8</v>
      </c>
      <c r="J57" s="79" t="n">
        <f aca="false">VALUES!$F$10</f>
        <v>675</v>
      </c>
      <c r="K57" s="103" t="n">
        <f aca="false">D57*E57*I57*J57</f>
        <v>7824.6</v>
      </c>
      <c r="L57" s="105"/>
      <c r="M57" s="109" t="n">
        <f aca="false">INDEX(O57:AA57,1,MATCH(MAX($O$64:$AA$64),$O$64:$AA$64,0))</f>
        <v>0.8</v>
      </c>
      <c r="N57" s="109" t="n">
        <f aca="false">INDEX(O57:AA57,1,MATCH(MAX($O$65:$AA$65),$O$65:$AA$65,0))</f>
        <v>0.8</v>
      </c>
      <c r="O57" s="70" t="n">
        <f aca="false">VALUES!$C$25</f>
        <v>0.47</v>
      </c>
      <c r="P57" s="70" t="n">
        <f aca="false">VALUES!$D$25</f>
        <v>0.72</v>
      </c>
      <c r="Q57" s="70" t="n">
        <f aca="false">VALUES!$E$25</f>
        <v>0.8</v>
      </c>
      <c r="R57" s="70" t="n">
        <f aca="false">VALUES!$F$25</f>
        <v>0.76</v>
      </c>
      <c r="S57" s="70" t="n">
        <f aca="false">VALUES!$G$25</f>
        <v>0.62</v>
      </c>
      <c r="T57" s="70" t="n">
        <f aca="false">VALUES!$H$25</f>
        <v>0.41</v>
      </c>
      <c r="U57" s="70" t="n">
        <f aca="false">VALUES!$I$25</f>
        <v>0.27</v>
      </c>
      <c r="V57" s="70" t="n">
        <f aca="false">VALUES!$J$25</f>
        <v>0.26</v>
      </c>
      <c r="W57" s="70" t="n">
        <f aca="false">VALUES!$K$25</f>
        <v>0.24</v>
      </c>
      <c r="X57" s="70" t="n">
        <f aca="false">VALUES!$L$25</f>
        <v>0.22</v>
      </c>
      <c r="Y57" s="70" t="n">
        <f aca="false">VALUES!$M$25</f>
        <v>0.2</v>
      </c>
      <c r="Z57" s="70" t="n">
        <f aca="false">VALUES!$N$25</f>
        <v>0.16</v>
      </c>
      <c r="AA57" s="70" t="n">
        <f aca="false">VALUES!$O$25</f>
        <v>0.12</v>
      </c>
    </row>
    <row r="58" customFormat="false" ht="13.05" hidden="false" customHeight="true" outlineLevel="0" collapsed="false">
      <c r="A58" s="79" t="n">
        <v>4</v>
      </c>
      <c r="B58" s="124" t="s">
        <v>143</v>
      </c>
      <c r="C58" s="124"/>
      <c r="D58" s="79" t="n">
        <f aca="false">F39</f>
        <v>0</v>
      </c>
      <c r="E58" s="87" t="n">
        <v>0.7</v>
      </c>
      <c r="F58" s="102" t="n">
        <f aca="false">M58</f>
        <v>0.74</v>
      </c>
      <c r="G58" s="79" t="n">
        <f aca="false">VALUES!$D$11</f>
        <v>284</v>
      </c>
      <c r="H58" s="103" t="n">
        <f aca="false">D58*G58*E58*F58</f>
        <v>0</v>
      </c>
      <c r="I58" s="102" t="n">
        <f aca="false">N58</f>
        <v>0.74</v>
      </c>
      <c r="J58" s="79" t="n">
        <f aca="false">VALUES!$F$11</f>
        <v>767</v>
      </c>
      <c r="K58" s="103" t="n">
        <f aca="false">D58*E58*I58*J58</f>
        <v>0</v>
      </c>
      <c r="L58" s="105"/>
      <c r="M58" s="109" t="n">
        <f aca="false">INDEX(O58:AA58,1,MATCH(MAX($O$64:$AA$64),$O$64:$AA$64,0))</f>
        <v>0.74</v>
      </c>
      <c r="N58" s="109" t="n">
        <f aca="false">INDEX(O58:AA58,1,MATCH(MAX($O$65:$AA$65),$O$65:$AA$65,0))</f>
        <v>0.74</v>
      </c>
      <c r="O58" s="70" t="n">
        <f aca="false">VALUES!$C$26</f>
        <v>0.3</v>
      </c>
      <c r="P58" s="70" t="n">
        <f aca="false">VALUES!$D$26</f>
        <v>0.57</v>
      </c>
      <c r="Q58" s="70" t="n">
        <f aca="false">VALUES!$E$26</f>
        <v>0.74</v>
      </c>
      <c r="R58" s="70" t="n">
        <f aca="false">VALUES!$F$26</f>
        <v>0.81</v>
      </c>
      <c r="S58" s="70" t="n">
        <f aca="false">VALUES!$G$26</f>
        <v>0.79</v>
      </c>
      <c r="T58" s="70" t="n">
        <f aca="false">VALUES!$H$26</f>
        <v>0.68</v>
      </c>
      <c r="U58" s="70" t="n">
        <f aca="false">VALUES!$I$26</f>
        <v>0.49</v>
      </c>
      <c r="V58" s="70" t="n">
        <f aca="false">VALUES!$J$26</f>
        <v>0.33</v>
      </c>
      <c r="W58" s="70" t="n">
        <f aca="false">VALUES!$K$26</f>
        <v>0.28</v>
      </c>
      <c r="X58" s="70" t="n">
        <f aca="false">VALUES!$L$26</f>
        <v>0.25</v>
      </c>
      <c r="Y58" s="70" t="n">
        <f aca="false">VALUES!$M$26</f>
        <v>0.22</v>
      </c>
      <c r="Z58" s="70" t="n">
        <f aca="false">VALUES!$N$26</f>
        <v>0.18</v>
      </c>
      <c r="AA58" s="70" t="n">
        <f aca="false">VALUES!$O$26</f>
        <v>0.13</v>
      </c>
    </row>
    <row r="59" customFormat="false" ht="13.05" hidden="false" customHeight="true" outlineLevel="0" collapsed="false">
      <c r="A59" s="79" t="n">
        <v>5</v>
      </c>
      <c r="B59" s="124" t="s">
        <v>144</v>
      </c>
      <c r="C59" s="124"/>
      <c r="D59" s="79" t="n">
        <f aca="false">F40</f>
        <v>4.83</v>
      </c>
      <c r="E59" s="87" t="n">
        <v>0.7</v>
      </c>
      <c r="F59" s="102" t="n">
        <f aca="false">M59</f>
        <v>0.23</v>
      </c>
      <c r="G59" s="79" t="n">
        <f aca="false">VALUES!$D$12</f>
        <v>126</v>
      </c>
      <c r="H59" s="103" t="n">
        <f aca="false">D59*G59*E59*F59</f>
        <v>97.98138</v>
      </c>
      <c r="I59" s="102" t="n">
        <f aca="false">N59</f>
        <v>0.23</v>
      </c>
      <c r="J59" s="79" t="n">
        <f aca="false">VALUES!$F$12</f>
        <v>565</v>
      </c>
      <c r="K59" s="103" t="n">
        <f aca="false">D59*E59*I59*J59</f>
        <v>439.36095</v>
      </c>
      <c r="L59" s="105"/>
      <c r="M59" s="109" t="n">
        <f aca="false">INDEX(O59:AA59,1,MATCH(MAX($O$64:$AA$64),$O$64:$AA$64,0))</f>
        <v>0.23</v>
      </c>
      <c r="N59" s="109" t="n">
        <f aca="false">INDEX(O59:AA59,1,MATCH(MAX($O$65:$AA$65),$O$65:$AA$65,0))</f>
        <v>0.23</v>
      </c>
      <c r="O59" s="70" t="n">
        <f aca="false">VALUES!$C$27</f>
        <v>0.09</v>
      </c>
      <c r="P59" s="70" t="n">
        <f aca="false">VALUES!$D$27</f>
        <v>0.16</v>
      </c>
      <c r="Q59" s="70" t="n">
        <f aca="false">VALUES!$E$27</f>
        <v>0.23</v>
      </c>
      <c r="R59" s="70" t="n">
        <f aca="false">VALUES!$F$27</f>
        <v>0.38</v>
      </c>
      <c r="S59" s="70" t="n">
        <f aca="false">VALUES!$G$27</f>
        <v>0.58</v>
      </c>
      <c r="T59" s="70" t="n">
        <f aca="false">VALUES!$H$27</f>
        <v>0.75</v>
      </c>
      <c r="U59" s="70" t="n">
        <f aca="false">VALUES!$I$27</f>
        <v>0.83</v>
      </c>
      <c r="V59" s="70" t="n">
        <f aca="false">VALUES!$J$27</f>
        <v>0.8</v>
      </c>
      <c r="W59" s="70" t="n">
        <f aca="false">VALUES!$K$27</f>
        <v>0.68</v>
      </c>
      <c r="X59" s="70" t="n">
        <f aca="false">VALUES!$L$27</f>
        <v>0.5</v>
      </c>
      <c r="Y59" s="70" t="n">
        <f aca="false">VALUES!$M$27</f>
        <v>0.35</v>
      </c>
      <c r="Z59" s="70" t="n">
        <f aca="false">VALUES!$N$27</f>
        <v>0.27</v>
      </c>
      <c r="AA59" s="70" t="n">
        <f aca="false">VALUES!$O$27</f>
        <v>0.19</v>
      </c>
    </row>
    <row r="60" customFormat="false" ht="13.05" hidden="false" customHeight="true" outlineLevel="0" collapsed="false">
      <c r="A60" s="79" t="n">
        <v>6</v>
      </c>
      <c r="B60" s="124" t="s">
        <v>145</v>
      </c>
      <c r="C60" s="124"/>
      <c r="D60" s="79" t="n">
        <f aca="false">F41</f>
        <v>0</v>
      </c>
      <c r="E60" s="87" t="n">
        <v>0.7</v>
      </c>
      <c r="F60" s="102" t="n">
        <f aca="false">M60</f>
        <v>0.14</v>
      </c>
      <c r="G60" s="79" t="n">
        <f aca="false">VALUES!$D$13</f>
        <v>284</v>
      </c>
      <c r="H60" s="103" t="n">
        <f aca="false">D60*G60*E60*F60</f>
        <v>0</v>
      </c>
      <c r="I60" s="102" t="n">
        <f aca="false">N60</f>
        <v>0.14</v>
      </c>
      <c r="J60" s="79" t="n">
        <f aca="false">VALUES!$F$13</f>
        <v>767</v>
      </c>
      <c r="K60" s="103" t="n">
        <f aca="false">D60*E60*I60*J60</f>
        <v>0</v>
      </c>
      <c r="L60" s="105"/>
      <c r="M60" s="109" t="n">
        <f aca="false">INDEX(O60:AA60,1,MATCH(MAX($O$64:$AA$64),$O$64:$AA$64,0))</f>
        <v>0.14</v>
      </c>
      <c r="N60" s="109" t="n">
        <f aca="false">INDEX(O60:AA60,1,MATCH(MAX($O$65:$AA$65),$O$65:$AA$65,0))</f>
        <v>0.14</v>
      </c>
      <c r="O60" s="70" t="n">
        <f aca="false">VALUES!$C$28</f>
        <v>0.07</v>
      </c>
      <c r="P60" s="70" t="n">
        <f aca="false">VALUES!$D$28</f>
        <v>0.11</v>
      </c>
      <c r="Q60" s="70" t="n">
        <f aca="false">VALUES!$E$28</f>
        <v>0.14</v>
      </c>
      <c r="R60" s="70" t="n">
        <f aca="false">VALUES!$F$28</f>
        <v>0.16</v>
      </c>
      <c r="S60" s="70" t="n">
        <f aca="false">VALUES!$G$28</f>
        <v>0.19</v>
      </c>
      <c r="T60" s="70" t="n">
        <f aca="false">VALUES!$H$28</f>
        <v>0.22</v>
      </c>
      <c r="U60" s="70" t="n">
        <f aca="false">VALUES!$I$28</f>
        <v>0.38</v>
      </c>
      <c r="V60" s="70" t="n">
        <f aca="false">VALUES!$J$28</f>
        <v>0.59</v>
      </c>
      <c r="W60" s="70" t="n">
        <f aca="false">VALUES!$K$28</f>
        <v>0.75</v>
      </c>
      <c r="X60" s="70" t="n">
        <f aca="false">VALUES!$L$28</f>
        <v>0.83</v>
      </c>
      <c r="Y60" s="70" t="n">
        <f aca="false">VALUES!$M$28</f>
        <v>0.81</v>
      </c>
      <c r="Z60" s="70" t="n">
        <f aca="false">VALUES!$N$28</f>
        <v>0.69</v>
      </c>
      <c r="AA60" s="70" t="n">
        <f aca="false">VALUES!$O$28</f>
        <v>0.45</v>
      </c>
    </row>
    <row r="61" customFormat="false" ht="13.05" hidden="false" customHeight="true" outlineLevel="0" collapsed="false">
      <c r="A61" s="79" t="n">
        <v>7</v>
      </c>
      <c r="B61" s="124" t="s">
        <v>146</v>
      </c>
      <c r="C61" s="124"/>
      <c r="D61" s="79" t="n">
        <f aca="false">F42</f>
        <v>0</v>
      </c>
      <c r="E61" s="87" t="n">
        <v>0.7</v>
      </c>
      <c r="F61" s="102" t="n">
        <f aca="false">M61</f>
        <v>0.11</v>
      </c>
      <c r="G61" s="79" t="n">
        <f aca="false">VALUES!$D$14</f>
        <v>644</v>
      </c>
      <c r="H61" s="103" t="n">
        <f aca="false">D61*G61*E61*F61</f>
        <v>0</v>
      </c>
      <c r="I61" s="102" t="n">
        <f aca="false">N61</f>
        <v>0.11</v>
      </c>
      <c r="J61" s="79" t="n">
        <f aca="false">VALUES!$F$14</f>
        <v>675</v>
      </c>
      <c r="K61" s="103" t="n">
        <f aca="false">D61*E61*I61*J61</f>
        <v>0</v>
      </c>
      <c r="L61" s="105"/>
      <c r="M61" s="109" t="n">
        <f aca="false">INDEX(O61:AA61,1,MATCH(MAX($O$64:$AA$64),$O$64:$AA$64,0))</f>
        <v>0.11</v>
      </c>
      <c r="N61" s="109" t="n">
        <f aca="false">INDEX(O61:AA61,1,MATCH(MAX($O$65:$AA$65),$O$65:$AA$65,0))</f>
        <v>0.11</v>
      </c>
      <c r="O61" s="70" t="n">
        <f aca="false">VALUES!$C$29</f>
        <v>0.06</v>
      </c>
      <c r="P61" s="70" t="n">
        <f aca="false">VALUES!$D$29</f>
        <v>0.09</v>
      </c>
      <c r="Q61" s="70" t="n">
        <f aca="false">VALUES!$E$29</f>
        <v>0.11</v>
      </c>
      <c r="R61" s="70" t="n">
        <f aca="false">VALUES!$F$29</f>
        <v>0.13</v>
      </c>
      <c r="S61" s="70" t="n">
        <f aca="false">VALUES!$G$29</f>
        <v>0.15</v>
      </c>
      <c r="T61" s="70" t="n">
        <f aca="false">VALUES!$H$29</f>
        <v>0.16</v>
      </c>
      <c r="U61" s="70" t="n">
        <f aca="false">VALUES!$I$29</f>
        <v>0.17</v>
      </c>
      <c r="V61" s="70" t="n">
        <f aca="false">VALUES!$J$29</f>
        <v>0.31</v>
      </c>
      <c r="W61" s="70" t="n">
        <f aca="false">VALUES!$K$29</f>
        <v>0.53</v>
      </c>
      <c r="X61" s="70" t="n">
        <f aca="false">VALUES!$L$29</f>
        <v>0.72</v>
      </c>
      <c r="Y61" s="70" t="n">
        <f aca="false">VALUES!$M$29</f>
        <v>0.82</v>
      </c>
      <c r="Z61" s="70" t="n">
        <f aca="false">VALUES!$N$29</f>
        <v>0.81</v>
      </c>
      <c r="AA61" s="70" t="n">
        <f aca="false">VALUES!$O$29</f>
        <v>0.61</v>
      </c>
    </row>
    <row r="62" customFormat="false" ht="13.05" hidden="false" customHeight="true" outlineLevel="0" collapsed="false">
      <c r="A62" s="79" t="n">
        <v>8</v>
      </c>
      <c r="B62" s="124" t="s">
        <v>147</v>
      </c>
      <c r="C62" s="124"/>
      <c r="D62" s="79" t="n">
        <f aca="false">F43</f>
        <v>0</v>
      </c>
      <c r="E62" s="87" t="n">
        <v>0.7</v>
      </c>
      <c r="F62" s="102" t="n">
        <f aca="false">M62</f>
        <v>0.14</v>
      </c>
      <c r="G62" s="79" t="n">
        <f aca="false">VALUES!$D$15</f>
        <v>625</v>
      </c>
      <c r="H62" s="103" t="n">
        <f aca="false">D62*G62*E62*F62</f>
        <v>0</v>
      </c>
      <c r="I62" s="102" t="n">
        <f aca="false">N62</f>
        <v>0.14</v>
      </c>
      <c r="J62" s="79" t="n">
        <f aca="false">VALUES!$F$15</f>
        <v>199</v>
      </c>
      <c r="K62" s="103" t="n">
        <f aca="false">D62*E62*I62*J62</f>
        <v>0</v>
      </c>
      <c r="L62" s="105"/>
      <c r="M62" s="109" t="n">
        <f aca="false">INDEX(O62:AA62,1,MATCH(MAX($O$64:$AA$64),$O$64:$AA$64,0))</f>
        <v>0.14</v>
      </c>
      <c r="N62" s="109" t="n">
        <f aca="false">INDEX(O62:AA62,1,MATCH(MAX($O$65:$AA$65),$O$65:$AA$65,0))</f>
        <v>0.14</v>
      </c>
      <c r="O62" s="70" t="n">
        <f aca="false">VALUES!$C$30</f>
        <v>0.07</v>
      </c>
      <c r="P62" s="70" t="n">
        <f aca="false">VALUES!$D$30</f>
        <v>0.11</v>
      </c>
      <c r="Q62" s="70" t="n">
        <f aca="false">VALUES!$E$30</f>
        <v>0.14</v>
      </c>
      <c r="R62" s="70" t="n">
        <f aca="false">VALUES!$F$30</f>
        <v>0.17</v>
      </c>
      <c r="S62" s="70" t="n">
        <f aca="false">VALUES!$G$30</f>
        <v>0.19</v>
      </c>
      <c r="T62" s="70" t="n">
        <f aca="false">VALUES!$H$30</f>
        <v>0.2</v>
      </c>
      <c r="U62" s="70" t="n">
        <f aca="false">VALUES!$I$30</f>
        <v>0.21</v>
      </c>
      <c r="V62" s="70" t="n">
        <f aca="false">VALUES!$J$30</f>
        <v>0.22</v>
      </c>
      <c r="W62" s="70" t="n">
        <f aca="false">VALUES!$K$30</f>
        <v>0.3</v>
      </c>
      <c r="X62" s="70" t="n">
        <f aca="false">VALUES!$L$30</f>
        <v>0.52</v>
      </c>
      <c r="Y62" s="70" t="n">
        <f aca="false">VALUES!$M$30</f>
        <v>0.73</v>
      </c>
      <c r="Z62" s="70" t="n">
        <f aca="false">VALUES!$N$30</f>
        <v>0.82</v>
      </c>
      <c r="AA62" s="70" t="n">
        <f aca="false">VALUES!$O$30</f>
        <v>0.69</v>
      </c>
    </row>
    <row r="63" customFormat="false" ht="13.05" hidden="false" customHeight="true" outlineLevel="0" collapsed="false">
      <c r="A63" s="79" t="n">
        <v>9</v>
      </c>
      <c r="B63" s="124" t="s">
        <v>164</v>
      </c>
      <c r="C63" s="124"/>
      <c r="D63" s="79" t="n">
        <f aca="false">F49</f>
        <v>0</v>
      </c>
      <c r="E63" s="87" t="n">
        <v>0.6</v>
      </c>
      <c r="F63" s="102" t="n">
        <f aca="false">M63</f>
        <v>0.44</v>
      </c>
      <c r="G63" s="79" t="n">
        <f aca="false">VALUES!$D$16</f>
        <v>864</v>
      </c>
      <c r="H63" s="103" t="n">
        <f aca="false">D63*G63*E63*F63</f>
        <v>0</v>
      </c>
      <c r="I63" s="102" t="n">
        <f aca="false">N63</f>
        <v>0.44</v>
      </c>
      <c r="J63" s="79" t="n">
        <f aca="false">VALUES!$F$16</f>
        <v>820</v>
      </c>
      <c r="K63" s="103" t="n">
        <f aca="false">D63*E63*I63*J63</f>
        <v>0</v>
      </c>
      <c r="L63" s="105"/>
      <c r="M63" s="109" t="n">
        <f aca="false">INDEX(O63:AA63,1,MATCH(MAX($O$64:$AA$64),$O$64:$AA$64,0))</f>
        <v>0.44</v>
      </c>
      <c r="N63" s="109" t="n">
        <f aca="false">INDEX(O63:AA63,1,MATCH(MAX($O$65:$AA$65),$O$65:$AA$65,0))</f>
        <v>0.44</v>
      </c>
      <c r="O63" s="70" t="n">
        <f aca="false">VALUES!$C$31</f>
        <v>0.12</v>
      </c>
      <c r="P63" s="70" t="n">
        <f aca="false">VALUES!$D$31</f>
        <v>0.27</v>
      </c>
      <c r="Q63" s="70" t="n">
        <f aca="false">VALUES!$E$31</f>
        <v>0.44</v>
      </c>
      <c r="R63" s="70" t="n">
        <f aca="false">VALUES!$F$31</f>
        <v>0.59</v>
      </c>
      <c r="S63" s="70" t="n">
        <f aca="false">VALUES!$G$31</f>
        <v>0.72</v>
      </c>
      <c r="T63" s="70" t="n">
        <f aca="false">VALUES!$H$31</f>
        <v>0.81</v>
      </c>
      <c r="U63" s="70" t="n">
        <f aca="false">VALUES!$I$31</f>
        <v>0.85</v>
      </c>
      <c r="V63" s="70" t="n">
        <f aca="false">VALUES!$J$31</f>
        <v>0.85</v>
      </c>
      <c r="W63" s="70" t="n">
        <f aca="false">VALUES!$K$31</f>
        <v>0.81</v>
      </c>
      <c r="X63" s="70" t="n">
        <f aca="false">VALUES!$L$31</f>
        <v>0.71</v>
      </c>
      <c r="Y63" s="70" t="n">
        <f aca="false">VALUES!$M$31</f>
        <v>0.58</v>
      </c>
      <c r="Z63" s="70" t="n">
        <f aca="false">VALUES!$N$31</f>
        <v>0.42</v>
      </c>
      <c r="AA63" s="70" t="n">
        <f aca="false">VALUES!$O$31</f>
        <v>0.25</v>
      </c>
    </row>
    <row r="64" customFormat="false" ht="13.05" hidden="false" customHeight="true" outlineLevel="0" collapsed="false">
      <c r="A64" s="79" t="n">
        <v>10</v>
      </c>
      <c r="B64" s="124" t="s">
        <v>154</v>
      </c>
      <c r="C64" s="124"/>
      <c r="D64" s="87"/>
      <c r="E64" s="87"/>
      <c r="F64" s="87"/>
      <c r="G64" s="87"/>
      <c r="H64" s="103" t="n">
        <f aca="false">D64*G64*E64*F64</f>
        <v>0</v>
      </c>
      <c r="I64" s="87"/>
      <c r="J64" s="87"/>
      <c r="K64" s="103" t="n">
        <f aca="false">D64*E64*I64*J64</f>
        <v>0</v>
      </c>
      <c r="L64" s="105"/>
      <c r="M64" s="123" t="n">
        <f aca="false">INDEX(O64:AA64,1,MATCH(MAX($O$64:$AA$64),$O$64:$AA$64,0))</f>
        <v>7563.22938</v>
      </c>
      <c r="N64" s="121"/>
      <c r="O64" s="126" t="n">
        <f aca="false">SUMPRODUCT(O55:O63, $E$55:$E$63, $D$55:$D$63, $G$55:$G$63)</f>
        <v>4424.17374</v>
      </c>
      <c r="P64" s="126" t="n">
        <f aca="false">SUMPRODUCT(P55:P63, $E$55:$E$63, $D$55:$D$63, $G$55:$G$63)</f>
        <v>6786.88416</v>
      </c>
      <c r="Q64" s="126" t="n">
        <f aca="false">SUMPRODUCT(Q55:Q63, $E$55:$E$63, $D$55:$D$63, $G$55:$G$63)</f>
        <v>7563.22938</v>
      </c>
      <c r="R64" s="126" t="n">
        <f aca="false">SUMPRODUCT(R55:R63, $E$55:$E$63, $D$55:$D$63, $G$55:$G$63)</f>
        <v>7253.86788</v>
      </c>
      <c r="S64" s="126" t="n">
        <f aca="false">SUMPRODUCT(S55:S63, $E$55:$E$63, $D$55:$D$63, $G$55:$G$63)</f>
        <v>6032.65068</v>
      </c>
      <c r="T64" s="126" t="n">
        <f aca="false">SUMPRODUCT(T55:T63, $E$55:$E$63, $D$55:$D$63, $G$55:$G$63)</f>
        <v>4145.4441</v>
      </c>
      <c r="U64" s="126" t="n">
        <f aca="false">SUMPRODUCT(U55:U63, $E$55:$E$63, $D$55:$D$63, $G$55:$G$63)</f>
        <v>2873.10618</v>
      </c>
      <c r="V64" s="126" t="n">
        <f aca="false">SUMPRODUCT(V55:V63, $E$55:$E$63, $D$55:$D$63, $G$55:$G$63)</f>
        <v>2767.0104</v>
      </c>
      <c r="W64" s="126" t="n">
        <f aca="false">SUMPRODUCT(W55:W63, $E$55:$E$63, $D$55:$D$63, $G$55:$G$63)</f>
        <v>2529.25848</v>
      </c>
      <c r="X64" s="126" t="n">
        <f aca="false">SUMPRODUCT(X55:X63, $E$55:$E$63, $D$55:$D$63, $G$55:$G$63)</f>
        <v>2265.9462</v>
      </c>
      <c r="Y64" s="126" t="n">
        <f aca="false">SUMPRODUCT(Y55:Y63, $E$55:$E$63, $D$55:$D$63, $G$55:$G$63)</f>
        <v>2015.4141</v>
      </c>
      <c r="Z64" s="126" t="n">
        <f aca="false">SUMPRODUCT(Z55:Z63, $E$55:$E$63, $D$55:$D$63, $G$55:$G$63)</f>
        <v>1608.07122</v>
      </c>
      <c r="AA64" s="126" t="n">
        <f aca="false">SUMPRODUCT(AA55:AA63, $E$55:$E$63, $D$55:$D$63, $G$55:$G$63)</f>
        <v>1200.72834</v>
      </c>
    </row>
    <row r="65" s="117" customFormat="true" ht="24.25" hidden="false" customHeight="true" outlineLevel="0" collapsed="false">
      <c r="A65" s="112" t="s">
        <v>4</v>
      </c>
      <c r="B65" s="127" t="s">
        <v>165</v>
      </c>
      <c r="C65" s="127"/>
      <c r="D65" s="112"/>
      <c r="E65" s="128"/>
      <c r="F65" s="112"/>
      <c r="G65" s="112"/>
      <c r="H65" s="114" t="n">
        <f aca="false">SUM(H55:H64)</f>
        <v>7563.22938</v>
      </c>
      <c r="I65" s="112"/>
      <c r="J65" s="112"/>
      <c r="K65" s="114" t="n">
        <f aca="false">SUM(K55:K64)</f>
        <v>8263.96095</v>
      </c>
      <c r="L65" s="105"/>
      <c r="M65" s="115"/>
      <c r="N65" s="123" t="n">
        <f aca="false">INDEX(O65:AA65,1,MATCH(MAX($O$65:$AA$65),$O$65:$AA$65,0))</f>
        <v>8263.96095</v>
      </c>
      <c r="O65" s="126" t="n">
        <f aca="false">SUMPRODUCT(O55:O63, $E$55:$E$63, $D$55:$D$63, $J$55:$J$63)</f>
        <v>4768.87635</v>
      </c>
      <c r="P65" s="126" t="n">
        <f aca="false">SUMPRODUCT(P55:P63, $E$55:$E$63, $D$55:$D$63, $J$55:$J$63)</f>
        <v>7347.7824</v>
      </c>
      <c r="Q65" s="126" t="n">
        <f aca="false">SUMPRODUCT(Q55:Q63, $E$55:$E$63, $D$55:$D$63, $J$55:$J$63)</f>
        <v>8263.96095</v>
      </c>
      <c r="R65" s="126" t="n">
        <f aca="false">SUMPRODUCT(R55:R63, $E$55:$E$63, $D$55:$D$63, $J$55:$J$63)</f>
        <v>8159.2707</v>
      </c>
      <c r="S65" s="126" t="n">
        <f aca="false">SUMPRODUCT(S55:S63, $E$55:$E$63, $D$55:$D$63, $J$55:$J$63)</f>
        <v>7172.0187</v>
      </c>
      <c r="T65" s="126" t="n">
        <f aca="false">SUMPRODUCT(T55:T63, $E$55:$E$63, $D$55:$D$63, $J$55:$J$63)</f>
        <v>5442.80625</v>
      </c>
      <c r="U65" s="126" t="n">
        <f aca="false">SUMPRODUCT(U55:U63, $E$55:$E$63, $D$55:$D$63, $J$55:$J$63)</f>
        <v>4226.32245</v>
      </c>
      <c r="V65" s="126" t="n">
        <f aca="false">SUMPRODUCT(V55:V63, $E$55:$E$63, $D$55:$D$63, $J$55:$J$63)</f>
        <v>4071.207</v>
      </c>
      <c r="W65" s="126" t="n">
        <f aca="false">SUMPRODUCT(W55:W63, $E$55:$E$63, $D$55:$D$63, $J$55:$J$63)</f>
        <v>3646.3602</v>
      </c>
      <c r="X65" s="126" t="n">
        <f aca="false">SUMPRODUCT(X55:X63, $E$55:$E$63, $D$55:$D$63, $J$55:$J$63)</f>
        <v>3106.8975</v>
      </c>
      <c r="Y65" s="126" t="n">
        <f aca="false">SUMPRODUCT(Y55:Y63, $E$55:$E$63, $D$55:$D$63, $J$55:$J$63)</f>
        <v>2624.74275</v>
      </c>
      <c r="Z65" s="126" t="n">
        <f aca="false">SUMPRODUCT(Z55:Z63, $E$55:$E$63, $D$55:$D$63, $J$55:$J$63)</f>
        <v>2080.69155</v>
      </c>
      <c r="AA65" s="126" t="n">
        <f aca="false">SUMPRODUCT(AA55:AA63, $E$55:$E$63, $D$55:$D$63, $J$55:$J$63)</f>
        <v>1536.64035</v>
      </c>
      <c r="AMJ65" s="71"/>
    </row>
    <row r="66" s="117" customFormat="true" ht="12.8" hidden="false" customHeight="false" outlineLevel="0" collapsed="false"/>
    <row r="67" customFormat="false" ht="13.05" hidden="false" customHeight="false" outlineLevel="0" collapsed="false">
      <c r="A67" s="101" t="s">
        <v>166</v>
      </c>
      <c r="B67" s="76"/>
      <c r="C67" s="76"/>
      <c r="D67" s="76"/>
      <c r="E67" s="76"/>
      <c r="F67" s="79" t="s">
        <v>167</v>
      </c>
      <c r="G67" s="79" t="s">
        <v>168</v>
      </c>
      <c r="H67" s="79" t="s">
        <v>169</v>
      </c>
      <c r="L67" s="72"/>
      <c r="M67" s="72"/>
      <c r="N67" s="72"/>
    </row>
    <row r="68" customFormat="false" ht="12.8" hidden="false" customHeight="false" outlineLevel="0" collapsed="false">
      <c r="A68" s="79" t="n">
        <v>1</v>
      </c>
      <c r="B68" s="79" t="s">
        <v>170</v>
      </c>
      <c r="C68" s="87" t="n">
        <v>5</v>
      </c>
      <c r="D68" s="79" t="s">
        <v>171</v>
      </c>
      <c r="E68" s="87" t="n">
        <v>60</v>
      </c>
      <c r="F68" s="87" t="n">
        <v>1</v>
      </c>
      <c r="G68" s="103" t="n">
        <f aca="false">C68*E68*F68</f>
        <v>300</v>
      </c>
      <c r="H68" s="129"/>
      <c r="L68" s="72"/>
      <c r="M68" s="72"/>
      <c r="N68" s="72"/>
    </row>
    <row r="69" customFormat="false" ht="12.8" hidden="false" customHeight="false" outlineLevel="0" collapsed="false">
      <c r="A69" s="79" t="n">
        <v>2</v>
      </c>
      <c r="B69" s="79" t="s">
        <v>170</v>
      </c>
      <c r="C69" s="87" t="n">
        <v>5</v>
      </c>
      <c r="D69" s="79" t="s">
        <v>171</v>
      </c>
      <c r="E69" s="87" t="n">
        <v>70</v>
      </c>
      <c r="F69" s="80"/>
      <c r="G69" s="129"/>
      <c r="H69" s="103" t="n">
        <f aca="false">C69*E69</f>
        <v>350</v>
      </c>
      <c r="L69" s="72"/>
      <c r="M69" s="72"/>
      <c r="N69" s="72"/>
    </row>
    <row r="70" customFormat="false" ht="13.05" hidden="false" customHeight="true" outlineLevel="0" collapsed="false">
      <c r="A70" s="112" t="s">
        <v>46</v>
      </c>
      <c r="B70" s="127" t="s">
        <v>172</v>
      </c>
      <c r="C70" s="127"/>
      <c r="D70" s="127"/>
      <c r="E70" s="127"/>
      <c r="F70" s="127"/>
      <c r="G70" s="114" t="n">
        <f aca="false">SUM(G68:G69)</f>
        <v>300</v>
      </c>
      <c r="H70" s="114" t="n">
        <f aca="false">SUM(H68:H69)</f>
        <v>350</v>
      </c>
      <c r="L70" s="72"/>
      <c r="M70" s="72"/>
      <c r="N70" s="72"/>
    </row>
    <row r="71" s="117" customFormat="true" ht="12.8" hidden="false" customHeight="false" outlineLevel="0" collapsed="false"/>
    <row r="72" customFormat="false" ht="35.4" hidden="false" customHeight="false" outlineLevel="0" collapsed="false">
      <c r="A72" s="101" t="s">
        <v>173</v>
      </c>
      <c r="B72" s="101"/>
      <c r="C72" s="101"/>
      <c r="D72" s="101"/>
      <c r="E72" s="101"/>
      <c r="F72" s="79" t="s">
        <v>174</v>
      </c>
      <c r="G72" s="79" t="s">
        <v>167</v>
      </c>
      <c r="H72" s="79" t="s">
        <v>168</v>
      </c>
      <c r="I72" s="79" t="s">
        <v>169</v>
      </c>
      <c r="L72" s="72"/>
      <c r="M72" s="72"/>
      <c r="N72" s="72"/>
    </row>
    <row r="73" customFormat="false" ht="12.8" hidden="false" customHeight="false" outlineLevel="0" collapsed="false">
      <c r="A73" s="79" t="n">
        <v>1</v>
      </c>
      <c r="B73" s="80" t="s">
        <v>175</v>
      </c>
      <c r="C73" s="87"/>
      <c r="D73" s="79" t="s">
        <v>171</v>
      </c>
      <c r="E73" s="87" t="n">
        <v>20</v>
      </c>
      <c r="F73" s="87" t="n">
        <v>1</v>
      </c>
      <c r="G73" s="87" t="n">
        <v>1</v>
      </c>
      <c r="H73" s="103" t="n">
        <f aca="false">C73*E73*F73*G73</f>
        <v>0</v>
      </c>
      <c r="I73" s="129"/>
      <c r="L73" s="72"/>
      <c r="M73" s="72"/>
      <c r="N73" s="72"/>
    </row>
    <row r="74" customFormat="false" ht="13.05" hidden="false" customHeight="false" outlineLevel="0" collapsed="false">
      <c r="A74" s="79" t="n">
        <v>2</v>
      </c>
      <c r="B74" s="82" t="s">
        <v>176</v>
      </c>
      <c r="C74" s="87"/>
      <c r="D74" s="79" t="s">
        <v>171</v>
      </c>
      <c r="E74" s="87" t="n">
        <v>100</v>
      </c>
      <c r="F74" s="87" t="n">
        <v>0.4</v>
      </c>
      <c r="G74" s="87" t="n">
        <v>1</v>
      </c>
      <c r="H74" s="103" t="n">
        <f aca="false">C74*E74*F74*G74</f>
        <v>0</v>
      </c>
      <c r="I74" s="129"/>
      <c r="L74" s="72"/>
      <c r="M74" s="72"/>
      <c r="N74" s="72"/>
    </row>
    <row r="75" customFormat="false" ht="13.05" hidden="false" customHeight="false" outlineLevel="0" collapsed="false">
      <c r="A75" s="79" t="n">
        <v>3</v>
      </c>
      <c r="B75" s="82" t="s">
        <v>177</v>
      </c>
      <c r="C75" s="87"/>
      <c r="D75" s="79" t="s">
        <v>171</v>
      </c>
      <c r="E75" s="87" t="n">
        <v>1000</v>
      </c>
      <c r="F75" s="87" t="n">
        <v>0.4</v>
      </c>
      <c r="G75" s="87" t="n">
        <v>1</v>
      </c>
      <c r="H75" s="103" t="n">
        <f aca="false">C75*E75*F75*G75</f>
        <v>0</v>
      </c>
      <c r="I75" s="129"/>
      <c r="L75" s="72"/>
      <c r="M75" s="72"/>
      <c r="N75" s="72"/>
    </row>
    <row r="76" customFormat="false" ht="23.85" hidden="false" customHeight="false" outlineLevel="0" collapsed="false">
      <c r="A76" s="79" t="n">
        <v>4</v>
      </c>
      <c r="B76" s="82" t="s">
        <v>178</v>
      </c>
      <c r="C76" s="87"/>
      <c r="D76" s="87"/>
      <c r="E76" s="87"/>
      <c r="F76" s="87" t="n">
        <v>1</v>
      </c>
      <c r="G76" s="87" t="n">
        <v>1</v>
      </c>
      <c r="H76" s="103" t="n">
        <f aca="false">SUM(C76+D76+E76)*F76*G76</f>
        <v>0</v>
      </c>
      <c r="I76" s="129"/>
      <c r="L76" s="72"/>
      <c r="M76" s="72"/>
      <c r="N76" s="72"/>
    </row>
    <row r="77" customFormat="false" ht="23.85" hidden="false" customHeight="false" outlineLevel="0" collapsed="false">
      <c r="A77" s="79" t="n">
        <v>5</v>
      </c>
      <c r="B77" s="82" t="s">
        <v>179</v>
      </c>
      <c r="C77" s="87" t="n">
        <v>5</v>
      </c>
      <c r="D77" s="79" t="s">
        <v>171</v>
      </c>
      <c r="E77" s="87" t="n">
        <f aca="false">B85</f>
        <v>155</v>
      </c>
      <c r="F77" s="87" t="n">
        <v>1</v>
      </c>
      <c r="G77" s="87" t="n">
        <v>1</v>
      </c>
      <c r="H77" s="103" t="n">
        <f aca="false">C77*E77*F77*G77</f>
        <v>775</v>
      </c>
      <c r="I77" s="129"/>
      <c r="L77" s="72"/>
      <c r="M77" s="72"/>
      <c r="N77" s="72"/>
    </row>
    <row r="78" customFormat="false" ht="23.85" hidden="false" customHeight="false" outlineLevel="0" collapsed="false">
      <c r="A78" s="79" t="n">
        <v>6</v>
      </c>
      <c r="B78" s="82" t="s">
        <v>180</v>
      </c>
      <c r="C78" s="87" t="n">
        <v>30</v>
      </c>
      <c r="D78" s="79" t="s">
        <v>171</v>
      </c>
      <c r="E78" s="87" t="n">
        <f aca="false">B85</f>
        <v>155</v>
      </c>
      <c r="F78" s="87" t="n">
        <v>1</v>
      </c>
      <c r="G78" s="87" t="n">
        <v>1</v>
      </c>
      <c r="H78" s="103" t="n">
        <f aca="false">C78*E78*F78*G78</f>
        <v>4650</v>
      </c>
      <c r="I78" s="129"/>
      <c r="L78" s="72"/>
      <c r="M78" s="72"/>
      <c r="N78" s="72"/>
    </row>
    <row r="79" customFormat="false" ht="13.05" hidden="false" customHeight="false" outlineLevel="0" collapsed="false">
      <c r="A79" s="79" t="n">
        <v>7</v>
      </c>
      <c r="B79" s="80" t="s">
        <v>181</v>
      </c>
      <c r="C79" s="87"/>
      <c r="D79" s="87"/>
      <c r="E79" s="87"/>
      <c r="F79" s="87" t="n">
        <v>1</v>
      </c>
      <c r="G79" s="87" t="n">
        <v>1</v>
      </c>
      <c r="H79" s="103" t="n">
        <f aca="false">SUM(C79+D79+E79)*F79*G79</f>
        <v>0</v>
      </c>
      <c r="I79" s="129"/>
      <c r="J79" s="105"/>
      <c r="K79" s="105"/>
      <c r="L79" s="89"/>
      <c r="M79" s="89"/>
      <c r="N79" s="72"/>
    </row>
    <row r="80" customFormat="false" ht="13.05" hidden="false" customHeight="false" outlineLevel="0" collapsed="false">
      <c r="A80" s="79" t="n">
        <v>8</v>
      </c>
      <c r="B80" s="80" t="s">
        <v>182</v>
      </c>
      <c r="C80" s="87"/>
      <c r="D80" s="87"/>
      <c r="E80" s="87"/>
      <c r="F80" s="87" t="n">
        <v>1</v>
      </c>
      <c r="G80" s="80"/>
      <c r="H80" s="129"/>
      <c r="I80" s="103" t="n">
        <f aca="false">SUM(C80+D80+E80)*F80</f>
        <v>0</v>
      </c>
      <c r="J80" s="105"/>
      <c r="K80" s="105"/>
      <c r="L80" s="89"/>
      <c r="M80" s="89"/>
      <c r="N80" s="72"/>
    </row>
    <row r="81" customFormat="false" ht="13.05" hidden="false" customHeight="true" outlineLevel="0" collapsed="false">
      <c r="A81" s="112" t="s">
        <v>183</v>
      </c>
      <c r="B81" s="127" t="s">
        <v>184</v>
      </c>
      <c r="C81" s="127"/>
      <c r="D81" s="127"/>
      <c r="E81" s="127"/>
      <c r="F81" s="127"/>
      <c r="G81" s="127"/>
      <c r="H81" s="114" t="n">
        <f aca="false">SUM(H73:H80)</f>
        <v>5425</v>
      </c>
      <c r="I81" s="114" t="n">
        <f aca="false">SUM(I73:I80)</f>
        <v>0</v>
      </c>
      <c r="L81" s="72"/>
      <c r="M81" s="72"/>
      <c r="N81" s="72"/>
    </row>
    <row r="82" s="117" customFormat="true" ht="12.8" hidden="false" customHeight="false" outlineLevel="0" collapsed="false"/>
    <row r="83" customFormat="false" ht="13.05" hidden="false" customHeight="true" outlineLevel="0" collapsed="false">
      <c r="A83" s="101" t="s">
        <v>185</v>
      </c>
      <c r="B83" s="88"/>
      <c r="C83" s="105"/>
      <c r="D83" s="105"/>
      <c r="E83" s="105"/>
      <c r="F83" s="88"/>
      <c r="G83" s="88"/>
      <c r="H83" s="118" t="s">
        <v>97</v>
      </c>
      <c r="I83" s="118"/>
      <c r="J83" s="118" t="s">
        <v>107</v>
      </c>
      <c r="K83" s="118"/>
      <c r="L83" s="72"/>
      <c r="M83" s="72"/>
      <c r="N83" s="72"/>
    </row>
    <row r="84" customFormat="false" ht="13.05" hidden="false" customHeight="false" outlineLevel="0" collapsed="false">
      <c r="A84" s="89"/>
      <c r="B84" s="79" t="s">
        <v>186</v>
      </c>
      <c r="C84" s="79" t="s">
        <v>187</v>
      </c>
      <c r="D84" s="79" t="s">
        <v>188</v>
      </c>
      <c r="E84" s="119"/>
      <c r="F84" s="130" t="s">
        <v>7</v>
      </c>
      <c r="G84" s="130" t="s">
        <v>7</v>
      </c>
      <c r="H84" s="79" t="s">
        <v>168</v>
      </c>
      <c r="I84" s="79" t="s">
        <v>169</v>
      </c>
      <c r="J84" s="79" t="s">
        <v>168</v>
      </c>
      <c r="K84" s="79" t="s">
        <v>169</v>
      </c>
      <c r="L84" s="72"/>
      <c r="M84" s="72"/>
      <c r="N84" s="72"/>
    </row>
    <row r="85" customFormat="false" ht="12.8" hidden="false" customHeight="false" outlineLevel="0" collapsed="false">
      <c r="A85" s="79" t="n">
        <v>1</v>
      </c>
      <c r="B85" s="87" t="n">
        <v>155</v>
      </c>
      <c r="C85" s="87" t="n">
        <v>4.6</v>
      </c>
      <c r="D85" s="87" t="n">
        <v>0</v>
      </c>
      <c r="E85" s="119" t="s">
        <v>189</v>
      </c>
      <c r="F85" s="87"/>
      <c r="G85" s="131" t="n">
        <f aca="false">F85 + D85*B85*C85</f>
        <v>0</v>
      </c>
      <c r="H85" s="103" t="n">
        <f aca="false">1230*(G85/3600)*($D$9-$E$9)</f>
        <v>0</v>
      </c>
      <c r="I85" s="103" t="n">
        <f aca="false">3010000*G85/3600*($D$11-$E$11)</f>
        <v>0</v>
      </c>
      <c r="J85" s="103" t="n">
        <f aca="false">1230*(G85/3600)*($D$15-$E$15)</f>
        <v>0</v>
      </c>
      <c r="K85" s="103" t="n">
        <f aca="false">3010000*G85/3600*($D$17-$E$17)</f>
        <v>0</v>
      </c>
      <c r="L85" s="72"/>
    </row>
    <row r="86" customFormat="false" ht="13.05" hidden="false" customHeight="true" outlineLevel="0" collapsed="false">
      <c r="A86" s="112" t="s">
        <v>190</v>
      </c>
      <c r="B86" s="127" t="s">
        <v>191</v>
      </c>
      <c r="C86" s="127"/>
      <c r="D86" s="127"/>
      <c r="E86" s="127"/>
      <c r="F86" s="127"/>
      <c r="G86" s="127"/>
      <c r="H86" s="114" t="n">
        <f aca="false">SUM(H85:H85)</f>
        <v>0</v>
      </c>
      <c r="I86" s="114" t="n">
        <f aca="false">SUM(I85:I85)</f>
        <v>0</v>
      </c>
      <c r="J86" s="114" t="n">
        <f aca="false">SUM(J85:J85)</f>
        <v>0</v>
      </c>
      <c r="K86" s="114" t="n">
        <f aca="false">SUM(K85:K85)</f>
        <v>0</v>
      </c>
      <c r="L86" s="72"/>
    </row>
    <row r="87" customFormat="false" ht="12.8" hidden="false" customHeight="false" outlineLevel="0" collapsed="false">
      <c r="A87" s="132"/>
      <c r="B87" s="115"/>
      <c r="C87" s="115"/>
      <c r="D87" s="115"/>
      <c r="E87" s="115"/>
      <c r="F87" s="133"/>
      <c r="G87" s="133"/>
      <c r="L87" s="72"/>
    </row>
    <row r="88" customFormat="false" ht="13.05" hidden="false" customHeight="true" outlineLevel="0" collapsed="false">
      <c r="A88" s="74" t="s">
        <v>192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2"/>
    </row>
    <row r="89" customFormat="false" ht="12.8" hidden="false" customHeight="false" outlineLevel="0" collapsed="false">
      <c r="A89" s="74"/>
      <c r="B89" s="74"/>
      <c r="C89" s="74"/>
      <c r="D89" s="74"/>
      <c r="E89" s="74"/>
      <c r="F89" s="74"/>
      <c r="G89" s="133"/>
      <c r="L89" s="72"/>
    </row>
    <row r="90" customFormat="false" ht="13.05" hidden="false" customHeight="false" outlineLevel="0" collapsed="false">
      <c r="A90" s="88"/>
      <c r="B90" s="72"/>
      <c r="C90" s="72"/>
      <c r="D90" s="72"/>
      <c r="E90" s="79" t="s">
        <v>97</v>
      </c>
      <c r="F90" s="79" t="s">
        <v>107</v>
      </c>
      <c r="G90" s="72"/>
      <c r="J90" s="79" t="s">
        <v>97</v>
      </c>
      <c r="K90" s="79" t="s">
        <v>107</v>
      </c>
      <c r="L90" s="72"/>
    </row>
    <row r="91" customFormat="false" ht="24.25" hidden="false" customHeight="true" outlineLevel="0" collapsed="false">
      <c r="A91" s="79" t="s">
        <v>193</v>
      </c>
      <c r="B91" s="118" t="s">
        <v>120</v>
      </c>
      <c r="C91" s="118"/>
      <c r="D91" s="118"/>
      <c r="E91" s="79" t="s">
        <v>194</v>
      </c>
      <c r="F91" s="79" t="s">
        <v>194</v>
      </c>
      <c r="G91" s="89"/>
      <c r="H91" s="134"/>
      <c r="I91" s="134"/>
      <c r="J91" s="79"/>
      <c r="K91" s="79"/>
      <c r="L91" s="135"/>
    </row>
    <row r="92" customFormat="false" ht="13.8" hidden="false" customHeight="true" outlineLevel="0" collapsed="false">
      <c r="A92" s="79" t="n">
        <v>1</v>
      </c>
      <c r="B92" s="124" t="s">
        <v>195</v>
      </c>
      <c r="C92" s="124"/>
      <c r="D92" s="124"/>
      <c r="E92" s="103" t="n">
        <f aca="false">I51</f>
        <v>18052.503285</v>
      </c>
      <c r="F92" s="103" t="n">
        <f aca="false">K51</f>
        <v>9505.87197499999</v>
      </c>
      <c r="G92" s="135"/>
      <c r="H92" s="136" t="s">
        <v>196</v>
      </c>
      <c r="I92" s="136"/>
      <c r="J92" s="137" t="n">
        <f aca="false">(E97/E102)</f>
        <v>0.988955761808986</v>
      </c>
      <c r="K92" s="137" t="n">
        <f aca="false">(F97/F102)</f>
        <v>0.985321767566967</v>
      </c>
      <c r="L92" s="72"/>
    </row>
    <row r="93" customFormat="false" ht="13.8" hidden="false" customHeight="true" outlineLevel="0" collapsed="false">
      <c r="A93" s="79" t="n">
        <v>2</v>
      </c>
      <c r="B93" s="124" t="s">
        <v>197</v>
      </c>
      <c r="C93" s="124"/>
      <c r="D93" s="124"/>
      <c r="E93" s="103" t="n">
        <f aca="false">H65</f>
        <v>7563.22938</v>
      </c>
      <c r="F93" s="103" t="n">
        <f aca="false">K65</f>
        <v>8263.96095</v>
      </c>
      <c r="G93" s="138"/>
      <c r="H93" s="136" t="s">
        <v>198</v>
      </c>
      <c r="I93" s="136"/>
      <c r="J93" s="139" t="n">
        <f aca="false">ROUND($E$107*3600/($B$85*$C$85),0)</f>
        <v>17</v>
      </c>
      <c r="K93" s="139" t="n">
        <f aca="false">ROUND($F$107*3600/($B$85*$C$85),0)</f>
        <v>13</v>
      </c>
      <c r="L93" s="72"/>
    </row>
    <row r="94" customFormat="false" ht="14.9" hidden="false" customHeight="true" outlineLevel="0" collapsed="false">
      <c r="A94" s="79" t="n">
        <v>3</v>
      </c>
      <c r="B94" s="124" t="s">
        <v>199</v>
      </c>
      <c r="C94" s="124"/>
      <c r="D94" s="124"/>
      <c r="E94" s="103" t="n">
        <f aca="false">G70</f>
        <v>300</v>
      </c>
      <c r="F94" s="103" t="n">
        <f aca="false">G70</f>
        <v>300</v>
      </c>
      <c r="G94" s="138"/>
      <c r="H94" s="136" t="s">
        <v>200</v>
      </c>
      <c r="I94" s="136"/>
      <c r="J94" s="139" t="n">
        <f aca="false">$E$9-($I$51+$H$65)/(SUMPRODUCT($G$28:$G$43, $F$28:$F$43) + $F$47*$G$47+ $F$49*$G$49)</f>
        <v>-54.2040619307165</v>
      </c>
      <c r="K94" s="139" t="n">
        <f aca="false">$E$15-($K$51+$K$65)/(SUMPRODUCT($G$28:$G$43, $F$28:$F$43) + $F$47*$G$47+ $F$49*$G$49)</f>
        <v>-30.2507658375105</v>
      </c>
      <c r="L94" s="72"/>
    </row>
    <row r="95" customFormat="false" ht="13.8" hidden="false" customHeight="true" outlineLevel="0" collapsed="false">
      <c r="A95" s="79" t="n">
        <v>4</v>
      </c>
      <c r="B95" s="124" t="s">
        <v>201</v>
      </c>
      <c r="C95" s="124"/>
      <c r="D95" s="124"/>
      <c r="E95" s="103" t="n">
        <f aca="false">H81</f>
        <v>5425</v>
      </c>
      <c r="F95" s="103" t="n">
        <f aca="false">H81</f>
        <v>5425</v>
      </c>
      <c r="G95" s="138"/>
      <c r="H95" s="136" t="s">
        <v>202</v>
      </c>
      <c r="I95" s="136"/>
      <c r="J95" s="140" t="n">
        <f aca="false">$M$54</f>
        <v>8</v>
      </c>
      <c r="K95" s="140" t="n">
        <f aca="false">$N$54</f>
        <v>8</v>
      </c>
      <c r="L95" s="72"/>
    </row>
    <row r="96" customFormat="false" ht="13.05" hidden="false" customHeight="true" outlineLevel="0" collapsed="false">
      <c r="A96" s="79" t="n">
        <v>5</v>
      </c>
      <c r="B96" s="124" t="s">
        <v>203</v>
      </c>
      <c r="C96" s="124"/>
      <c r="D96" s="124"/>
      <c r="E96" s="103" t="n">
        <f aca="false">H86</f>
        <v>0</v>
      </c>
      <c r="F96" s="103" t="n">
        <f aca="false">J86</f>
        <v>0</v>
      </c>
      <c r="L96" s="72"/>
    </row>
    <row r="97" customFormat="false" ht="13.05" hidden="false" customHeight="true" outlineLevel="0" collapsed="false">
      <c r="A97" s="141" t="s">
        <v>204</v>
      </c>
      <c r="B97" s="142" t="s">
        <v>205</v>
      </c>
      <c r="C97" s="142"/>
      <c r="D97" s="142"/>
      <c r="E97" s="143" t="n">
        <f aca="false">SUM(E92:E96)</f>
        <v>31340.732665</v>
      </c>
      <c r="F97" s="143" t="n">
        <f aca="false">SUM(F92:F96)</f>
        <v>23494.832925</v>
      </c>
      <c r="L97" s="72"/>
    </row>
    <row r="98" customFormat="false" ht="13.05" hidden="false" customHeight="true" outlineLevel="0" collapsed="false">
      <c r="A98" s="79" t="n">
        <v>1</v>
      </c>
      <c r="B98" s="124" t="s">
        <v>199</v>
      </c>
      <c r="C98" s="124"/>
      <c r="D98" s="124"/>
      <c r="E98" s="103" t="n">
        <f aca="false">H70</f>
        <v>350</v>
      </c>
      <c r="F98" s="103" t="n">
        <f aca="false">H70</f>
        <v>350</v>
      </c>
      <c r="L98" s="72"/>
    </row>
    <row r="99" customFormat="false" ht="13.05" hidden="false" customHeight="true" outlineLevel="0" collapsed="false">
      <c r="A99" s="79" t="n">
        <v>2</v>
      </c>
      <c r="B99" s="124" t="s">
        <v>206</v>
      </c>
      <c r="C99" s="124"/>
      <c r="D99" s="124"/>
      <c r="E99" s="103" t="n">
        <f aca="false">I81</f>
        <v>0</v>
      </c>
      <c r="F99" s="103" t="n">
        <f aca="false">I81</f>
        <v>0</v>
      </c>
      <c r="L99" s="72"/>
    </row>
    <row r="100" customFormat="false" ht="13.05" hidden="false" customHeight="true" outlineLevel="0" collapsed="false">
      <c r="A100" s="79" t="n">
        <v>3</v>
      </c>
      <c r="B100" s="124" t="s">
        <v>203</v>
      </c>
      <c r="C100" s="124"/>
      <c r="D100" s="124"/>
      <c r="E100" s="103" t="n">
        <f aca="false">I86</f>
        <v>0</v>
      </c>
      <c r="F100" s="103" t="n">
        <f aca="false">K86</f>
        <v>0</v>
      </c>
      <c r="L100" s="72"/>
    </row>
    <row r="101" customFormat="false" ht="13.05" hidden="false" customHeight="true" outlineLevel="0" collapsed="false">
      <c r="A101" s="141" t="s">
        <v>207</v>
      </c>
      <c r="B101" s="142" t="s">
        <v>208</v>
      </c>
      <c r="C101" s="142"/>
      <c r="D101" s="142"/>
      <c r="E101" s="143" t="n">
        <f aca="false">SUM(E98:E100)</f>
        <v>350</v>
      </c>
      <c r="F101" s="143" t="n">
        <f aca="false">SUM(F98:F100)</f>
        <v>350</v>
      </c>
      <c r="L101" s="72"/>
    </row>
    <row r="102" customFormat="false" ht="13.05" hidden="false" customHeight="true" outlineLevel="0" collapsed="false">
      <c r="A102" s="141" t="s">
        <v>209</v>
      </c>
      <c r="B102" s="142" t="s">
        <v>210</v>
      </c>
      <c r="C102" s="142"/>
      <c r="D102" s="142"/>
      <c r="E102" s="143" t="n">
        <f aca="false">E97+E101</f>
        <v>31690.732665</v>
      </c>
      <c r="F102" s="143" t="n">
        <f aca="false">F97+F101</f>
        <v>23844.832925</v>
      </c>
      <c r="L102" s="72"/>
    </row>
    <row r="103" s="147" customFormat="true" ht="12.8" hidden="false" customHeight="true" outlineLevel="0" collapsed="false">
      <c r="A103" s="79"/>
      <c r="B103" s="124" t="s">
        <v>211</v>
      </c>
      <c r="C103" s="124"/>
      <c r="D103" s="124"/>
      <c r="E103" s="144" t="n">
        <f aca="false">E115</f>
        <v>14.1121166500521</v>
      </c>
      <c r="F103" s="144" t="n">
        <f aca="false">F115</f>
        <v>13.812931872635</v>
      </c>
      <c r="G103" s="70"/>
      <c r="H103" s="70"/>
      <c r="I103" s="70"/>
      <c r="J103" s="70"/>
      <c r="K103" s="70"/>
      <c r="L103" s="146"/>
    </row>
    <row r="104" customFormat="false" ht="13.05" hidden="false" customHeight="true" outlineLevel="0" collapsed="false">
      <c r="A104" s="79"/>
      <c r="B104" s="124" t="s">
        <v>212</v>
      </c>
      <c r="C104" s="124"/>
      <c r="D104" s="124"/>
      <c r="E104" s="148" t="n">
        <f aca="false">E97/(1230*($E$9-E103))</f>
        <v>2.57691859395609</v>
      </c>
      <c r="F104" s="148" t="n">
        <f aca="false">F97/(1230*($E$15-F103))</f>
        <v>1.87507239022143</v>
      </c>
      <c r="L104" s="72"/>
    </row>
    <row r="105" customFormat="false" ht="13.05" hidden="false" customHeight="true" outlineLevel="0" collapsed="false">
      <c r="A105" s="141" t="s">
        <v>213</v>
      </c>
      <c r="B105" s="142" t="s">
        <v>214</v>
      </c>
      <c r="C105" s="142"/>
      <c r="D105" s="142"/>
      <c r="E105" s="143" t="n">
        <f aca="false">1230*E104*1</f>
        <v>3169.60987056599</v>
      </c>
      <c r="F105" s="143" t="n">
        <f aca="false">1230*F104*1</f>
        <v>2306.33903997236</v>
      </c>
      <c r="G105" s="73"/>
      <c r="L105" s="72"/>
    </row>
    <row r="106" s="150" customFormat="true" ht="13.05" hidden="false" customHeight="true" outlineLevel="0" collapsed="false">
      <c r="A106" s="141" t="s">
        <v>215</v>
      </c>
      <c r="B106" s="142" t="s">
        <v>216</v>
      </c>
      <c r="C106" s="142"/>
      <c r="D106" s="142"/>
      <c r="E106" s="149" t="n">
        <f aca="false">E123*1000</f>
        <v>7230</v>
      </c>
      <c r="F106" s="149" t="n">
        <f aca="false">F123*1000</f>
        <v>5220</v>
      </c>
      <c r="G106" s="73"/>
      <c r="H106" s="70"/>
      <c r="I106" s="70"/>
      <c r="J106" s="70"/>
      <c r="K106" s="70"/>
      <c r="L106" s="73"/>
      <c r="AMJ106" s="71"/>
    </row>
    <row r="107" s="150" customFormat="true" ht="13.05" hidden="false" customHeight="true" outlineLevel="0" collapsed="false">
      <c r="A107" s="79"/>
      <c r="B107" s="82" t="s">
        <v>217</v>
      </c>
      <c r="C107" s="82"/>
      <c r="D107" s="82"/>
      <c r="E107" s="148" t="n">
        <f aca="false">(E97+E105+E106)/(1230*($E$9-E103))</f>
        <v>3.43200224282301</v>
      </c>
      <c r="F107" s="148" t="n">
        <f aca="false">(F97+F105+F106)/(1230*($E$15-F103))</f>
        <v>2.47573341974854</v>
      </c>
      <c r="G107" s="72"/>
      <c r="H107" s="70"/>
      <c r="I107" s="70"/>
      <c r="J107" s="70"/>
      <c r="K107" s="70"/>
      <c r="L107" s="73"/>
      <c r="AMJ107" s="71"/>
    </row>
    <row r="108" customFormat="false" ht="24.25" hidden="false" customHeight="true" outlineLevel="0" collapsed="false">
      <c r="A108" s="79"/>
      <c r="B108" s="124" t="s">
        <v>218</v>
      </c>
      <c r="C108" s="124"/>
      <c r="D108" s="124"/>
      <c r="E108" s="151" t="n">
        <f aca="false">$E$11-E101/(3010000*E107)</f>
        <v>0.00928674601374081</v>
      </c>
      <c r="F108" s="151" t="n">
        <f aca="false">$E$17-F101/(3010000*F107)</f>
        <v>0.00927365931504704</v>
      </c>
      <c r="L108" s="72"/>
    </row>
    <row r="109" customFormat="false" ht="12.8" hidden="false" customHeight="true" outlineLevel="0" collapsed="false">
      <c r="A109" s="79"/>
      <c r="B109" s="124" t="s">
        <v>219</v>
      </c>
      <c r="C109" s="124"/>
      <c r="D109" s="124"/>
      <c r="E109" s="152" t="n">
        <v>0.2</v>
      </c>
      <c r="F109" s="152" t="n">
        <v>0.2</v>
      </c>
      <c r="L109" s="72"/>
    </row>
    <row r="110" customFormat="false" ht="12.8" hidden="false" customHeight="true" outlineLevel="0" collapsed="false">
      <c r="A110" s="79"/>
      <c r="B110" s="124" t="s">
        <v>220</v>
      </c>
      <c r="C110" s="124"/>
      <c r="D110" s="124"/>
      <c r="E110" s="152" t="n">
        <v>0.1</v>
      </c>
      <c r="F110" s="152" t="n">
        <v>0.1</v>
      </c>
      <c r="L110" s="72"/>
    </row>
    <row r="111" customFormat="false" ht="13.05" hidden="false" customHeight="true" outlineLevel="0" collapsed="false">
      <c r="A111" s="79"/>
      <c r="B111" s="124" t="s">
        <v>221</v>
      </c>
      <c r="C111" s="124"/>
      <c r="D111" s="124"/>
      <c r="E111" s="153" t="n">
        <f aca="false">E109*($D$9-$E$9)+$E$9</f>
        <v>26.64</v>
      </c>
      <c r="F111" s="153" t="n">
        <f aca="false">F109*($D$15-$E$15)+$E$15</f>
        <v>25.66</v>
      </c>
      <c r="L111" s="72"/>
    </row>
    <row r="112" customFormat="false" ht="13.05" hidden="false" customHeight="true" outlineLevel="0" collapsed="false">
      <c r="A112" s="79"/>
      <c r="B112" s="124" t="s">
        <v>222</v>
      </c>
      <c r="C112" s="124"/>
      <c r="D112" s="124"/>
      <c r="E112" s="151" t="n">
        <f aca="false">E109*($D$11-$E$11)+$E$11</f>
        <v>0.0108234532272777</v>
      </c>
      <c r="F112" s="151" t="n">
        <f aca="false">F109*($D$17-$E$17)+$E$17</f>
        <v>0.0118927576966085</v>
      </c>
      <c r="L112" s="72"/>
    </row>
    <row r="113" customFormat="false" ht="14.9" hidden="false" customHeight="true" outlineLevel="0" collapsed="false">
      <c r="A113" s="79"/>
      <c r="B113" s="124" t="s">
        <v>223</v>
      </c>
      <c r="C113" s="124"/>
      <c r="D113" s="124"/>
      <c r="E113" s="151" t="n">
        <f aca="false">(E108-E110*E112)/(1-E110)</f>
        <v>0.00911600076779226</v>
      </c>
      <c r="F113" s="151" t="n">
        <f aca="false">(F108-F110*F112)/(1-F110)</f>
        <v>0.00898264838376243</v>
      </c>
      <c r="L113" s="72"/>
    </row>
    <row r="114" s="147" customFormat="true" ht="14.9" hidden="false" customHeight="true" outlineLevel="0" collapsed="false">
      <c r="A114" s="154"/>
      <c r="B114" s="155" t="s">
        <v>224</v>
      </c>
      <c r="C114" s="155"/>
      <c r="D114" s="155"/>
      <c r="E114" s="156" t="n">
        <f aca="false">1730.63/(8.07131-LOG10(E113*101325/(0.62198+E108)*0.00750062))-233.426</f>
        <v>12.720129611169</v>
      </c>
      <c r="F114" s="156" t="n">
        <f aca="false">1730.63/(8.07131-LOG10(F113*101325/(0.62198+F108)*0.00750062))-233.426</f>
        <v>12.4965909695945</v>
      </c>
      <c r="L114" s="146"/>
    </row>
    <row r="115" customFormat="false" ht="13.05" hidden="false" customHeight="true" outlineLevel="0" collapsed="false">
      <c r="A115" s="79"/>
      <c r="B115" s="124" t="s">
        <v>225</v>
      </c>
      <c r="C115" s="124"/>
      <c r="D115" s="124"/>
      <c r="E115" s="153" t="n">
        <f aca="false">E114+E110*(E111-E114)</f>
        <v>14.1121166500521</v>
      </c>
      <c r="F115" s="153" t="n">
        <f aca="false">F114+F110*(F111-F114)</f>
        <v>13.812931872635</v>
      </c>
      <c r="L115" s="72"/>
    </row>
    <row r="116" customFormat="false" ht="13.8" hidden="false" customHeight="true" outlineLevel="0" collapsed="false">
      <c r="A116" s="141" t="s">
        <v>226</v>
      </c>
      <c r="B116" s="157" t="s">
        <v>227</v>
      </c>
      <c r="C116" s="157"/>
      <c r="D116" s="157"/>
      <c r="E116" s="143" t="n">
        <f aca="false">1230*E107*(E111-E115)</f>
        <v>52884.7402184609</v>
      </c>
      <c r="F116" s="143" t="n">
        <f aca="false">1230*F107*(F111-F115)</f>
        <v>36076.1244614149</v>
      </c>
      <c r="G116" s="135"/>
      <c r="H116" s="135"/>
      <c r="I116" s="135"/>
      <c r="J116" s="135"/>
      <c r="K116" s="135"/>
      <c r="L116" s="72"/>
    </row>
    <row r="117" s="150" customFormat="true" ht="13.05" hidden="false" customHeight="true" outlineLevel="0" collapsed="false">
      <c r="A117" s="141" t="s">
        <v>228</v>
      </c>
      <c r="B117" s="157" t="s">
        <v>229</v>
      </c>
      <c r="C117" s="157"/>
      <c r="D117" s="157"/>
      <c r="E117" s="143" t="n">
        <f aca="false">3010000*E107*(E112-E108)</f>
        <v>15874.6876362973</v>
      </c>
      <c r="F117" s="143" t="n">
        <f aca="false">3010000*F107*(F112-F108)</f>
        <v>19517.4100724515</v>
      </c>
      <c r="G117" s="74" t="s">
        <v>230</v>
      </c>
      <c r="H117" s="74"/>
      <c r="I117" s="74"/>
      <c r="J117" s="74"/>
      <c r="K117" s="74"/>
      <c r="AMJ117" s="71"/>
    </row>
    <row r="118" s="150" customFormat="true" ht="13.05" hidden="false" customHeight="true" outlineLevel="0" collapsed="false">
      <c r="A118" s="141" t="s">
        <v>231</v>
      </c>
      <c r="B118" s="157" t="s">
        <v>232</v>
      </c>
      <c r="C118" s="157"/>
      <c r="D118" s="157"/>
      <c r="E118" s="143" t="n">
        <f aca="false">E116+E117</f>
        <v>68759.4278547582</v>
      </c>
      <c r="F118" s="143" t="n">
        <f aca="false">F116+F117</f>
        <v>55593.5345338664</v>
      </c>
      <c r="G118" s="70"/>
      <c r="H118" s="105"/>
      <c r="I118" s="70"/>
      <c r="J118" s="70"/>
      <c r="K118" s="70"/>
      <c r="AMJ118" s="71"/>
    </row>
    <row r="119" s="150" customFormat="true" ht="12.8" hidden="false" customHeight="true" outlineLevel="0" collapsed="false">
      <c r="A119" s="141"/>
      <c r="B119" s="157" t="s">
        <v>233</v>
      </c>
      <c r="C119" s="157"/>
      <c r="D119" s="157"/>
      <c r="E119" s="158" t="n">
        <f aca="false">E118/3517</f>
        <v>19.5505908031726</v>
      </c>
      <c r="F119" s="158" t="n">
        <f aca="false">F118/3517</f>
        <v>15.8070897167661</v>
      </c>
      <c r="G119" s="159" t="s">
        <v>204</v>
      </c>
      <c r="H119" s="160" t="s">
        <v>234</v>
      </c>
      <c r="I119" s="160"/>
      <c r="J119" s="161" t="n">
        <f aca="false">MAX(E119:F119)*1.1</f>
        <v>21.5056498834899</v>
      </c>
      <c r="K119" s="150" t="s">
        <v>17</v>
      </c>
      <c r="AMJ119" s="71"/>
    </row>
    <row r="120" customFormat="false" ht="12.8" hidden="false" customHeight="true" outlineLevel="0" collapsed="false">
      <c r="A120" s="162" t="s">
        <v>235</v>
      </c>
      <c r="B120" s="163" t="s">
        <v>236</v>
      </c>
      <c r="C120" s="163"/>
      <c r="D120" s="163"/>
      <c r="E120" s="164" t="n">
        <f aca="false">1230*E107*(E103-E115)/1000</f>
        <v>0</v>
      </c>
      <c r="F120" s="164" t="n">
        <f aca="false">1230*F107*(F103-F115)/1000</f>
        <v>0</v>
      </c>
      <c r="G120" s="159" t="s">
        <v>207</v>
      </c>
      <c r="H120" s="160" t="s">
        <v>237</v>
      </c>
      <c r="I120" s="160"/>
      <c r="J120" s="165" t="n">
        <f aca="false">MAX(E121:F121)*1.1</f>
        <v>13590.7288815791</v>
      </c>
      <c r="K120" s="150" t="s">
        <v>7</v>
      </c>
      <c r="L120" s="72"/>
    </row>
    <row r="121" customFormat="false" ht="24.25" hidden="false" customHeight="true" outlineLevel="0" collapsed="false">
      <c r="A121" s="141" t="s">
        <v>238</v>
      </c>
      <c r="B121" s="157" t="s">
        <v>239</v>
      </c>
      <c r="C121" s="157"/>
      <c r="D121" s="157"/>
      <c r="E121" s="143" t="n">
        <f aca="false">E107*3600</f>
        <v>12355.2080741628</v>
      </c>
      <c r="F121" s="143" t="n">
        <f aca="false">F107*3600</f>
        <v>8912.64031109475</v>
      </c>
      <c r="G121" s="74"/>
      <c r="H121" s="166" t="s">
        <v>240</v>
      </c>
      <c r="I121" s="166"/>
      <c r="J121" s="167"/>
      <c r="K121" s="74"/>
    </row>
    <row r="122" customFormat="false" ht="12.8" hidden="false" customHeight="true" outlineLevel="0" collapsed="false">
      <c r="A122" s="79"/>
      <c r="B122" s="82" t="s">
        <v>241</v>
      </c>
      <c r="C122" s="82"/>
      <c r="D122" s="82"/>
      <c r="E122" s="168" t="n">
        <v>1400</v>
      </c>
      <c r="F122" s="168" t="n">
        <v>1400</v>
      </c>
      <c r="H122" s="169" t="s">
        <v>242</v>
      </c>
      <c r="I122" s="169"/>
      <c r="J122" s="170" t="n">
        <f aca="false">ROUND((J120/1.7)/J119,0)</f>
        <v>372</v>
      </c>
    </row>
    <row r="123" customFormat="false" ht="13.05" hidden="false" customHeight="true" outlineLevel="0" collapsed="false">
      <c r="A123" s="79"/>
      <c r="B123" s="82" t="s">
        <v>243</v>
      </c>
      <c r="C123" s="82"/>
      <c r="D123" s="82"/>
      <c r="E123" s="148" t="n">
        <f aca="false">ROUNDUP(E107*E122/(0.7*0.95)/1000,2)</f>
        <v>7.23</v>
      </c>
      <c r="F123" s="148" t="n">
        <f aca="false">ROUNDUP(F107*F122/(0.7*0.95)/1000,2)</f>
        <v>5.22</v>
      </c>
      <c r="H123" s="169" t="s">
        <v>244</v>
      </c>
      <c r="I123" s="169"/>
      <c r="J123" s="170" t="n">
        <f aca="false">ROUND(B85/J119,1)</f>
        <v>7.2</v>
      </c>
    </row>
    <row r="124" customFormat="false" ht="13.8" hidden="false" customHeight="false" outlineLevel="0" collapsed="false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</row>
    <row r="125" s="70" customFormat="true" ht="13.8" hidden="false" customHeight="false" outlineLevel="0" collapsed="false">
      <c r="G125" s="135"/>
      <c r="H125" s="135"/>
      <c r="I125" s="135"/>
      <c r="J125" s="135"/>
      <c r="K125" s="135"/>
      <c r="AMJ125" s="71"/>
    </row>
    <row r="126" s="70" customFormat="true" ht="13.8" hidden="false" customHeight="false" outlineLevel="0" collapsed="false">
      <c r="G126" s="135"/>
      <c r="H126" s="135"/>
      <c r="I126" s="135"/>
      <c r="J126" s="135"/>
      <c r="K126" s="135"/>
      <c r="AMJ126" s="71"/>
    </row>
    <row r="127" s="70" customFormat="true" ht="12.8" hidden="false" customHeight="false" outlineLevel="0" collapsed="false">
      <c r="AMJ127" s="71"/>
    </row>
    <row r="128" s="70" customFormat="true" ht="12.8" hidden="false" customHeight="false" outlineLevel="0" collapsed="false">
      <c r="AMJ128" s="71"/>
    </row>
  </sheetData>
  <mergeCells count="108">
    <mergeCell ref="A2:K2"/>
    <mergeCell ref="B4:G4"/>
    <mergeCell ref="B5:G5"/>
    <mergeCell ref="E6:G6"/>
    <mergeCell ref="A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F53:H53"/>
    <mergeCell ref="I53:K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0:F70"/>
    <mergeCell ref="A72:E72"/>
    <mergeCell ref="B81:G81"/>
    <mergeCell ref="H83:I83"/>
    <mergeCell ref="J83:K83"/>
    <mergeCell ref="B86:G86"/>
    <mergeCell ref="A88:K88"/>
    <mergeCell ref="B91:D91"/>
    <mergeCell ref="H91:I91"/>
    <mergeCell ref="B92:D92"/>
    <mergeCell ref="H92:I92"/>
    <mergeCell ref="B93:D93"/>
    <mergeCell ref="H93:I93"/>
    <mergeCell ref="B94:D94"/>
    <mergeCell ref="H94:I94"/>
    <mergeCell ref="B95:D95"/>
    <mergeCell ref="H95:I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G117:K117"/>
    <mergeCell ref="B118:D118"/>
    <mergeCell ref="B119:D119"/>
    <mergeCell ref="H119:I119"/>
    <mergeCell ref="B120:D120"/>
    <mergeCell ref="H120:I120"/>
    <mergeCell ref="B121:D121"/>
    <mergeCell ref="H121:I121"/>
    <mergeCell ref="B122:D122"/>
    <mergeCell ref="H122:I122"/>
    <mergeCell ref="B123:D123"/>
    <mergeCell ref="H123:I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1" man="true" max="16383" min="0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115" zoomScalePageLayoutView="130" workbookViewId="0">
      <selection pane="topLeft" activeCell="G24" activeCellId="0" sqref="G24"/>
    </sheetView>
  </sheetViews>
  <sheetFormatPr defaultColWidth="9.13671875" defaultRowHeight="12.8" zeroHeight="false" outlineLevelRow="0" outlineLevelCol="0"/>
  <cols>
    <col collapsed="false" customWidth="true" hidden="false" outlineLevel="0" max="1" min="1" style="69" width="11.64"/>
    <col collapsed="false" customWidth="true" hidden="false" outlineLevel="0" max="2" min="2" style="69" width="15.8"/>
    <col collapsed="false" customWidth="true" hidden="false" outlineLevel="0" max="3" min="3" style="69" width="9.83"/>
    <col collapsed="false" customWidth="true" hidden="false" outlineLevel="0" max="4" min="4" style="69" width="9.24"/>
    <col collapsed="false" customWidth="true" hidden="false" outlineLevel="0" max="5" min="5" style="70" width="9.51"/>
    <col collapsed="false" customWidth="true" hidden="false" outlineLevel="0" max="6" min="6" style="70" width="8.14"/>
    <col collapsed="false" customWidth="true" hidden="false" outlineLevel="0" max="7" min="7" style="70" width="8.79"/>
    <col collapsed="false" customWidth="true" hidden="false" outlineLevel="0" max="8" min="8" style="70" width="13.55"/>
    <col collapsed="false" customWidth="true" hidden="false" outlineLevel="0" max="9" min="9" style="70" width="8.55"/>
    <col collapsed="false" customWidth="true" hidden="false" outlineLevel="0" max="10" min="10" style="70" width="10.25"/>
    <col collapsed="false" customWidth="false" hidden="false" outlineLevel="0" max="12" min="11" style="70" width="9.13"/>
    <col collapsed="false" customWidth="true" hidden="false" outlineLevel="0" max="13" min="13" style="70" width="11.94"/>
    <col collapsed="false" customWidth="false" hidden="false" outlineLevel="0" max="1023" min="14" style="70" width="9.13"/>
    <col collapsed="false" customWidth="false" hidden="false" outlineLevel="0" max="1024" min="1024" style="71" width="9.13"/>
  </cols>
  <sheetData>
    <row r="1" customFormat="false" ht="12.8" hidden="false" customHeight="false" outlineLevel="0" collapsed="false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3.05" hidden="false" customHeight="true" outlineLevel="0" collapsed="false">
      <c r="A2" s="74" t="s">
        <v>86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customFormat="false" ht="12.8" hidden="false" customHeight="false" outlineLevel="0" collapsed="false">
      <c r="A3" s="72"/>
      <c r="B3" s="72"/>
      <c r="C3" s="72"/>
      <c r="D3" s="72"/>
      <c r="E3" s="72"/>
      <c r="F3" s="72"/>
      <c r="G3" s="76"/>
      <c r="H3" s="72"/>
      <c r="I3" s="72"/>
      <c r="J3" s="72"/>
      <c r="K3" s="72"/>
    </row>
    <row r="4" customFormat="false" ht="13.05" hidden="false" customHeight="false" outlineLevel="0" collapsed="false">
      <c r="A4" s="77" t="s">
        <v>87</v>
      </c>
      <c r="B4" s="77"/>
      <c r="C4" s="77"/>
      <c r="D4" s="77"/>
      <c r="E4" s="77"/>
      <c r="F4" s="77"/>
      <c r="G4" s="77"/>
      <c r="H4" s="78" t="s">
        <v>88</v>
      </c>
      <c r="I4" s="79"/>
      <c r="J4" s="80" t="s">
        <v>89</v>
      </c>
      <c r="K4" s="81"/>
    </row>
    <row r="5" customFormat="false" ht="12.8" hidden="false" customHeight="true" outlineLevel="0" collapsed="false">
      <c r="A5" s="82" t="s">
        <v>90</v>
      </c>
      <c r="B5" s="83" t="s">
        <v>248</v>
      </c>
      <c r="C5" s="83"/>
      <c r="D5" s="83"/>
      <c r="E5" s="83"/>
      <c r="F5" s="83"/>
      <c r="G5" s="83"/>
      <c r="H5" s="84" t="s">
        <v>92</v>
      </c>
      <c r="I5" s="79"/>
      <c r="J5" s="80" t="s">
        <v>89</v>
      </c>
      <c r="K5" s="85"/>
      <c r="L5" s="86"/>
    </row>
    <row r="6" customFormat="false" ht="13.05" hidden="false" customHeight="false" outlineLevel="0" collapsed="false">
      <c r="A6" s="80" t="s">
        <v>93</v>
      </c>
      <c r="B6" s="87" t="n">
        <v>1</v>
      </c>
      <c r="C6" s="79" t="s">
        <v>94</v>
      </c>
      <c r="D6" s="87" t="n">
        <v>1</v>
      </c>
      <c r="E6" s="80"/>
      <c r="F6" s="80"/>
      <c r="G6" s="80"/>
      <c r="H6" s="84" t="s">
        <v>95</v>
      </c>
      <c r="I6" s="79"/>
      <c r="J6" s="80" t="s">
        <v>89</v>
      </c>
      <c r="K6" s="81"/>
      <c r="L6" s="72"/>
    </row>
    <row r="7" customFormat="false" ht="13.05" hidden="false" customHeight="true" outlineLevel="0" collapsed="false">
      <c r="A7" s="88" t="s">
        <v>96</v>
      </c>
      <c r="B7" s="88"/>
      <c r="C7" s="88"/>
      <c r="D7" s="88"/>
      <c r="E7" s="88"/>
      <c r="F7" s="72"/>
      <c r="G7" s="72"/>
      <c r="H7" s="72"/>
      <c r="I7" s="89"/>
      <c r="J7" s="72"/>
      <c r="K7" s="90"/>
      <c r="L7" s="72"/>
    </row>
    <row r="8" customFormat="false" ht="13.05" hidden="false" customHeight="true" outlineLevel="0" collapsed="false">
      <c r="A8" s="91" t="s">
        <v>97</v>
      </c>
      <c r="B8" s="91"/>
      <c r="C8" s="80"/>
      <c r="D8" s="92" t="s">
        <v>98</v>
      </c>
      <c r="E8" s="92" t="s">
        <v>99</v>
      </c>
      <c r="F8" s="92" t="s">
        <v>100</v>
      </c>
      <c r="G8" s="72"/>
      <c r="H8" s="93" t="s">
        <v>101</v>
      </c>
      <c r="I8" s="89"/>
      <c r="J8" s="72"/>
      <c r="K8" s="90"/>
      <c r="L8" s="72"/>
    </row>
    <row r="9" customFormat="false" ht="12.8" hidden="false" customHeight="true" outlineLevel="0" collapsed="false">
      <c r="A9" s="82" t="s">
        <v>102</v>
      </c>
      <c r="B9" s="82"/>
      <c r="C9" s="80"/>
      <c r="D9" s="94" t="n">
        <v>37.2</v>
      </c>
      <c r="E9" s="87" t="n">
        <v>22</v>
      </c>
      <c r="F9" s="80"/>
      <c r="G9" s="72"/>
      <c r="H9" s="95" t="s">
        <v>103</v>
      </c>
      <c r="I9" s="89"/>
      <c r="J9" s="72"/>
      <c r="K9" s="90"/>
      <c r="L9" s="72"/>
    </row>
    <row r="10" customFormat="false" ht="12.8" hidden="false" customHeight="true" outlineLevel="0" collapsed="false">
      <c r="A10" s="82" t="s">
        <v>104</v>
      </c>
      <c r="B10" s="82"/>
      <c r="C10" s="80"/>
      <c r="D10" s="94" t="n">
        <v>41</v>
      </c>
      <c r="E10" s="87" t="n">
        <v>58</v>
      </c>
      <c r="F10" s="80"/>
      <c r="G10" s="72"/>
      <c r="H10" s="96"/>
      <c r="I10" s="89"/>
      <c r="J10" s="72"/>
      <c r="K10" s="90"/>
      <c r="L10" s="72"/>
    </row>
    <row r="11" customFormat="false" ht="13.05" hidden="false" customHeight="true" outlineLevel="0" collapsed="false">
      <c r="A11" s="82" t="s">
        <v>105</v>
      </c>
      <c r="B11" s="82"/>
      <c r="C11" s="80"/>
      <c r="D11" s="97" t="n">
        <f aca="false">0.62198/(101325/(EXP(77.345+0.0057*(273+D9)- 7235/(273+D9))/(273+D9)^8.2)-1)*D10/100</f>
        <v>0.016834758778653</v>
      </c>
      <c r="E11" s="97" t="n">
        <f aca="false">0.62198/(101325/(EXP(77.345+0.0057*(273+E9)- 7235/(273+E9))/(273+E9)^8.2)-1)*E10/100</f>
        <v>0.00954566728509081</v>
      </c>
      <c r="F11" s="80"/>
      <c r="G11" s="72"/>
      <c r="H11" s="72"/>
      <c r="I11" s="89"/>
      <c r="J11" s="72"/>
      <c r="K11" s="90"/>
      <c r="L11" s="72"/>
    </row>
    <row r="12" customFormat="false" ht="13.05" hidden="false" customHeight="true" outlineLevel="0" collapsed="false">
      <c r="A12" s="82" t="s">
        <v>106</v>
      </c>
      <c r="B12" s="82"/>
      <c r="C12" s="80"/>
      <c r="D12" s="79"/>
      <c r="E12" s="79"/>
      <c r="F12" s="87" t="n">
        <v>10.5</v>
      </c>
      <c r="G12" s="72"/>
      <c r="H12" s="72"/>
      <c r="I12" s="89"/>
      <c r="J12" s="72"/>
      <c r="K12" s="90"/>
      <c r="L12" s="72"/>
    </row>
    <row r="13" customFormat="false" ht="12.8" hidden="false" customHeight="false" outlineLevel="0" collapsed="false">
      <c r="A13" s="82"/>
      <c r="B13" s="82"/>
      <c r="C13" s="80"/>
      <c r="D13" s="79"/>
      <c r="E13" s="79"/>
      <c r="F13" s="79"/>
      <c r="G13" s="72"/>
      <c r="H13" s="72"/>
      <c r="I13" s="89"/>
      <c r="J13" s="72"/>
      <c r="K13" s="90"/>
      <c r="L13" s="72"/>
    </row>
    <row r="14" customFormat="false" ht="13.05" hidden="false" customHeight="true" outlineLevel="0" collapsed="false">
      <c r="A14" s="91" t="s">
        <v>107</v>
      </c>
      <c r="B14" s="91"/>
      <c r="C14" s="80"/>
      <c r="D14" s="98"/>
      <c r="E14" s="98"/>
      <c r="F14" s="80"/>
      <c r="G14" s="72"/>
      <c r="H14" s="72"/>
      <c r="I14" s="89"/>
      <c r="J14" s="72"/>
      <c r="K14" s="90"/>
      <c r="L14" s="72"/>
    </row>
    <row r="15" customFormat="false" ht="12.8" hidden="false" customHeight="true" outlineLevel="0" collapsed="false">
      <c r="A15" s="82" t="s">
        <v>102</v>
      </c>
      <c r="B15" s="82"/>
      <c r="C15" s="80"/>
      <c r="D15" s="94" t="n">
        <v>32.3</v>
      </c>
      <c r="E15" s="87" t="n">
        <v>22</v>
      </c>
      <c r="F15" s="80"/>
      <c r="G15" s="72"/>
      <c r="H15" s="72"/>
      <c r="I15" s="89"/>
      <c r="J15" s="72"/>
      <c r="K15" s="90"/>
      <c r="L15" s="72"/>
    </row>
    <row r="16" customFormat="false" ht="12.8" hidden="false" customHeight="true" outlineLevel="0" collapsed="false">
      <c r="A16" s="82" t="s">
        <v>104</v>
      </c>
      <c r="B16" s="82"/>
      <c r="C16" s="80"/>
      <c r="D16" s="94" t="n">
        <v>72</v>
      </c>
      <c r="E16" s="87" t="n">
        <v>60</v>
      </c>
      <c r="F16" s="80"/>
      <c r="G16" s="72"/>
      <c r="H16" s="72"/>
      <c r="I16" s="89"/>
      <c r="J16" s="72"/>
      <c r="K16" s="90"/>
      <c r="L16" s="72"/>
    </row>
    <row r="17" customFormat="false" ht="13.05" hidden="false" customHeight="true" outlineLevel="0" collapsed="false">
      <c r="A17" s="82" t="s">
        <v>105</v>
      </c>
      <c r="B17" s="82"/>
      <c r="C17" s="80"/>
      <c r="D17" s="97" t="n">
        <f aca="false">0.62198/(101325/(EXP(77.345+0.0057*(273+D15)- 7235/(273+D15))/(273+D15)^8.2)-1)*D16/100</f>
        <v>0.0221812811253068</v>
      </c>
      <c r="E17" s="97" t="n">
        <f aca="false">0.62198/(101325/(EXP(77.345+0.0057*(273+E15)- 7235/(273+E15))/(273+E15)^8.2)-1)*E16/100</f>
        <v>0.00987482822595601</v>
      </c>
      <c r="F17" s="80"/>
      <c r="G17" s="72"/>
      <c r="H17" s="72"/>
      <c r="I17" s="89"/>
      <c r="J17" s="72"/>
      <c r="K17" s="90"/>
      <c r="L17" s="72"/>
    </row>
    <row r="18" customFormat="false" ht="13.05" hidden="false" customHeight="true" outlineLevel="0" collapsed="false">
      <c r="A18" s="82" t="s">
        <v>106</v>
      </c>
      <c r="B18" s="82"/>
      <c r="C18" s="80"/>
      <c r="D18" s="79"/>
      <c r="E18" s="79"/>
      <c r="F18" s="87" t="n">
        <v>10.5</v>
      </c>
      <c r="G18" s="72"/>
      <c r="H18" s="72"/>
      <c r="I18" s="89"/>
      <c r="J18" s="72"/>
      <c r="K18" s="90"/>
      <c r="L18" s="72"/>
    </row>
    <row r="19" customFormat="false" ht="12.8" hidden="false" customHeight="false" outlineLevel="0" collapsed="false">
      <c r="A19" s="82"/>
      <c r="B19" s="82"/>
      <c r="C19" s="80"/>
      <c r="D19" s="80"/>
      <c r="E19" s="80"/>
      <c r="F19" s="80"/>
      <c r="G19" s="72"/>
      <c r="H19" s="72"/>
      <c r="I19" s="89"/>
      <c r="J19" s="72"/>
      <c r="K19" s="90"/>
      <c r="L19" s="72"/>
    </row>
    <row r="20" customFormat="false" ht="13.05" hidden="false" customHeight="false" outlineLevel="0" collapsed="false">
      <c r="A20" s="80" t="s">
        <v>108</v>
      </c>
      <c r="B20" s="80"/>
      <c r="C20" s="80"/>
      <c r="D20" s="99" t="s">
        <v>109</v>
      </c>
      <c r="E20" s="79"/>
      <c r="F20" s="80"/>
      <c r="G20" s="72"/>
      <c r="H20" s="72"/>
      <c r="I20" s="89"/>
      <c r="J20" s="72"/>
      <c r="K20" s="90"/>
      <c r="L20" s="72"/>
    </row>
    <row r="21" customFormat="false" ht="13.05" hidden="false" customHeight="false" outlineLevel="0" collapsed="false">
      <c r="A21" s="80"/>
      <c r="B21" s="80" t="s">
        <v>110</v>
      </c>
      <c r="C21" s="87" t="s">
        <v>111</v>
      </c>
      <c r="D21" s="100" t="s">
        <v>112</v>
      </c>
      <c r="E21" s="100" t="s">
        <v>113</v>
      </c>
      <c r="F21" s="80"/>
      <c r="G21" s="72"/>
      <c r="H21" s="72"/>
      <c r="I21" s="89"/>
      <c r="J21" s="72"/>
      <c r="K21" s="90"/>
      <c r="L21" s="72"/>
    </row>
    <row r="22" customFormat="false" ht="13.05" hidden="false" customHeight="false" outlineLevel="0" collapsed="false">
      <c r="A22" s="80"/>
      <c r="B22" s="80" t="s">
        <v>114</v>
      </c>
      <c r="C22" s="100" t="s">
        <v>111</v>
      </c>
      <c r="D22" s="87" t="s">
        <v>112</v>
      </c>
      <c r="E22" s="100" t="s">
        <v>113</v>
      </c>
      <c r="F22" s="80"/>
      <c r="G22" s="72"/>
      <c r="H22" s="72"/>
      <c r="I22" s="89"/>
      <c r="J22" s="72"/>
      <c r="K22" s="90"/>
      <c r="L22" s="72"/>
    </row>
    <row r="23" customFormat="false" ht="13.05" hidden="false" customHeight="false" outlineLevel="0" collapsed="false">
      <c r="A23" s="80"/>
      <c r="B23" s="80" t="s">
        <v>115</v>
      </c>
      <c r="C23" s="100" t="s">
        <v>116</v>
      </c>
      <c r="D23" s="87" t="s">
        <v>117</v>
      </c>
      <c r="E23" s="100" t="s">
        <v>118</v>
      </c>
      <c r="F23" s="80"/>
      <c r="G23" s="72"/>
      <c r="H23" s="72"/>
      <c r="I23" s="89"/>
      <c r="J23" s="72"/>
      <c r="K23" s="90"/>
      <c r="L23" s="72"/>
    </row>
    <row r="24" customFormat="false" ht="12.8" hidden="false" customHeight="false" outlineLevel="0" collapsed="false">
      <c r="A24" s="72"/>
      <c r="B24" s="72"/>
      <c r="C24" s="89"/>
      <c r="D24" s="72"/>
      <c r="E24" s="72"/>
      <c r="F24" s="72"/>
      <c r="G24" s="72"/>
      <c r="H24" s="72"/>
      <c r="I24" s="89"/>
      <c r="J24" s="72"/>
      <c r="K24" s="90"/>
      <c r="L24" s="72"/>
    </row>
    <row r="25" customFormat="false" ht="12.8" hidden="false" customHeight="false" outlineLevel="0" collapsed="false">
      <c r="A25" s="101" t="s">
        <v>119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88"/>
      <c r="M25" s="72"/>
    </row>
    <row r="26" customFormat="false" ht="13.05" hidden="false" customHeight="true" outlineLevel="0" collapsed="false">
      <c r="A26" s="79" t="s">
        <v>120</v>
      </c>
      <c r="B26" s="79" t="s">
        <v>121</v>
      </c>
      <c r="C26" s="79"/>
      <c r="D26" s="79"/>
      <c r="E26" s="79"/>
      <c r="F26" s="79" t="s">
        <v>122</v>
      </c>
      <c r="G26" s="79" t="s">
        <v>123</v>
      </c>
      <c r="H26" s="79" t="s">
        <v>97</v>
      </c>
      <c r="I26" s="79" t="s">
        <v>124</v>
      </c>
      <c r="J26" s="79" t="s">
        <v>107</v>
      </c>
      <c r="K26" s="79" t="s">
        <v>124</v>
      </c>
      <c r="L26" s="72"/>
      <c r="M26" s="69"/>
    </row>
    <row r="27" customFormat="false" ht="24.25" hidden="false" customHeight="false" outlineLevel="0" collapsed="false">
      <c r="A27" s="79" t="s">
        <v>125</v>
      </c>
      <c r="B27" s="79"/>
      <c r="C27" s="79"/>
      <c r="D27" s="79"/>
      <c r="E27" s="79"/>
      <c r="F27" s="79" t="s">
        <v>126</v>
      </c>
      <c r="G27" s="79" t="s">
        <v>127</v>
      </c>
      <c r="H27" s="79" t="s">
        <v>128</v>
      </c>
      <c r="I27" s="79" t="s">
        <v>129</v>
      </c>
      <c r="J27" s="79" t="s">
        <v>128</v>
      </c>
      <c r="K27" s="79" t="s">
        <v>129</v>
      </c>
      <c r="L27" s="72"/>
    </row>
    <row r="28" customFormat="false" ht="12.8" hidden="false" customHeight="true" outlineLevel="0" collapsed="false">
      <c r="A28" s="79" t="n">
        <v>1</v>
      </c>
      <c r="B28" s="80" t="s">
        <v>130</v>
      </c>
      <c r="C28" s="80"/>
      <c r="D28" s="80"/>
      <c r="E28" s="80"/>
      <c r="F28" s="87"/>
      <c r="G28" s="87" t="n">
        <v>2.28</v>
      </c>
      <c r="H28" s="102" t="n">
        <f aca="false">VALUES!$F46+(25.6-$E$9)+($D$9-0.5*$F$12-29.4)</f>
        <v>15.45</v>
      </c>
      <c r="I28" s="103" t="n">
        <f aca="false">F28*G28*H28</f>
        <v>0</v>
      </c>
      <c r="J28" s="102" t="n">
        <f aca="false">VALUES!$I46+(25.6-$E$15)+($D$15-0.5*$F$18-29.4)</f>
        <v>5.95</v>
      </c>
      <c r="K28" s="103" t="n">
        <f aca="false">F28*G28*J28</f>
        <v>0</v>
      </c>
      <c r="L28" s="72"/>
    </row>
    <row r="29" customFormat="false" ht="13.05" hidden="false" customHeight="true" outlineLevel="0" collapsed="false">
      <c r="A29" s="79" t="n">
        <v>2</v>
      </c>
      <c r="B29" s="80" t="s">
        <v>131</v>
      </c>
      <c r="C29" s="80"/>
      <c r="D29" s="80"/>
      <c r="E29" s="80"/>
      <c r="F29" s="87"/>
      <c r="G29" s="87" t="n">
        <v>2.28</v>
      </c>
      <c r="H29" s="102" t="n">
        <f aca="false">VALUES!$F47+(25.6-$E$9)+($D$9-0.5*$F$12-29.4)</f>
        <v>15.85</v>
      </c>
      <c r="I29" s="103" t="n">
        <f aca="false">F29*G29*H29</f>
        <v>0</v>
      </c>
      <c r="J29" s="102" t="n">
        <f aca="false">VALUES!$I47+(25.6-$E$15)+($D$15-0.5*$F$18-29.4)</f>
        <v>7.05</v>
      </c>
      <c r="K29" s="103" t="n">
        <f aca="false">F29*G29*J29</f>
        <v>0</v>
      </c>
      <c r="L29" s="72"/>
    </row>
    <row r="30" customFormat="false" ht="12.8" hidden="false" customHeight="true" outlineLevel="0" collapsed="false">
      <c r="A30" s="79" t="n">
        <v>3</v>
      </c>
      <c r="B30" s="80" t="s">
        <v>132</v>
      </c>
      <c r="C30" s="80"/>
      <c r="D30" s="80"/>
      <c r="E30" s="80"/>
      <c r="F30" s="87"/>
      <c r="G30" s="87" t="n">
        <v>2.28</v>
      </c>
      <c r="H30" s="102" t="n">
        <f aca="false">VALUES!$F48+(25.6-$E$9)+($D$9-0.5*$F$12-29.4)</f>
        <v>15.85</v>
      </c>
      <c r="I30" s="103" t="n">
        <f aca="false">F30*G30*H30</f>
        <v>0</v>
      </c>
      <c r="J30" s="102" t="n">
        <f aca="false">VALUES!$I48+(25.6-$E$15)+($D$15-0.5*$F$18-29.4)</f>
        <v>10.95</v>
      </c>
      <c r="K30" s="103" t="n">
        <f aca="false">F30*G30*J30</f>
        <v>0</v>
      </c>
      <c r="L30" s="72"/>
    </row>
    <row r="31" customFormat="false" ht="13.05" hidden="false" customHeight="true" outlineLevel="0" collapsed="false">
      <c r="A31" s="79" t="n">
        <v>4</v>
      </c>
      <c r="B31" s="80" t="s">
        <v>133</v>
      </c>
      <c r="C31" s="80"/>
      <c r="D31" s="80"/>
      <c r="E31" s="80"/>
      <c r="F31" s="87"/>
      <c r="G31" s="87" t="n">
        <v>2.28</v>
      </c>
      <c r="H31" s="102" t="n">
        <f aca="false">VALUES!$F49+(25.6-$E$9)+($D$9-0.5*$F$12-29.4)</f>
        <v>13.15</v>
      </c>
      <c r="I31" s="103" t="n">
        <f aca="false">F31*G31*H31</f>
        <v>0</v>
      </c>
      <c r="J31" s="102" t="n">
        <f aca="false">VALUES!$I49+(25.6-$E$15)+($D$15-0.5*$F$18-29.4)</f>
        <v>12.55</v>
      </c>
      <c r="K31" s="103" t="n">
        <f aca="false">F31*G31*J31</f>
        <v>0</v>
      </c>
      <c r="L31" s="72"/>
    </row>
    <row r="32" customFormat="false" ht="12.8" hidden="false" customHeight="true" outlineLevel="0" collapsed="false">
      <c r="A32" s="79" t="n">
        <v>5</v>
      </c>
      <c r="B32" s="80" t="s">
        <v>134</v>
      </c>
      <c r="C32" s="80"/>
      <c r="D32" s="80"/>
      <c r="E32" s="80"/>
      <c r="F32" s="87" t="n">
        <f aca="false">8*4.6</f>
        <v>36.8</v>
      </c>
      <c r="G32" s="87" t="n">
        <v>2.28</v>
      </c>
      <c r="H32" s="102" t="n">
        <f aca="false">VALUES!$F50+(25.6-$E$9)+($D$9-0.5*$F$12-29.4)</f>
        <v>11.95</v>
      </c>
      <c r="I32" s="103" t="n">
        <f aca="false">F32*G32*H32</f>
        <v>1002.6528</v>
      </c>
      <c r="J32" s="102" t="n">
        <f aca="false">VALUES!$I50+(25.6-$E$15)+($D$15-0.5*$F$18-29.4)</f>
        <v>13.65</v>
      </c>
      <c r="K32" s="103" t="n">
        <f aca="false">F32*G32*J32</f>
        <v>1145.2896</v>
      </c>
      <c r="L32" s="72"/>
    </row>
    <row r="33" customFormat="false" ht="13.05" hidden="false" customHeight="true" outlineLevel="0" collapsed="false">
      <c r="A33" s="79" t="n">
        <v>6</v>
      </c>
      <c r="B33" s="80" t="s">
        <v>135</v>
      </c>
      <c r="C33" s="80"/>
      <c r="D33" s="80"/>
      <c r="E33" s="80"/>
      <c r="F33" s="87"/>
      <c r="G33" s="87" t="n">
        <v>2.28</v>
      </c>
      <c r="H33" s="102" t="n">
        <f aca="false">VALUES!$F51+(25.6-$E$9)+($D$9-0.5*$F$12-29.4)</f>
        <v>13.95</v>
      </c>
      <c r="I33" s="103" t="n">
        <f aca="false">F33*G33*H33</f>
        <v>0</v>
      </c>
      <c r="J33" s="102" t="n">
        <f aca="false">VALUES!$I51+(25.6-$E$15)+($D$15-0.5*$F$18-29.4)</f>
        <v>13.35</v>
      </c>
      <c r="K33" s="103" t="n">
        <f aca="false">F33*G33*J33</f>
        <v>0</v>
      </c>
      <c r="L33" s="72"/>
    </row>
    <row r="34" customFormat="false" ht="23.85" hidden="false" customHeight="true" outlineLevel="0" collapsed="false">
      <c r="A34" s="79" t="n">
        <v>7</v>
      </c>
      <c r="B34" s="80" t="s">
        <v>136</v>
      </c>
      <c r="C34" s="80"/>
      <c r="D34" s="80"/>
      <c r="E34" s="80"/>
      <c r="F34" s="87"/>
      <c r="G34" s="87" t="n">
        <v>2.28</v>
      </c>
      <c r="H34" s="102" t="n">
        <f aca="false">VALUES!$F52+(25.6-$E$9)+($D$9-0.5*$F$12-29.4)</f>
        <v>17.05</v>
      </c>
      <c r="I34" s="103" t="n">
        <f aca="false">F34*G34*H34</f>
        <v>0</v>
      </c>
      <c r="J34" s="102" t="n">
        <f aca="false">VALUES!$I52+(25.6-$E$15)+($D$15-0.5*$F$18-29.4)</f>
        <v>12.15</v>
      </c>
      <c r="K34" s="103" t="n">
        <f aca="false">F34*G34*J34</f>
        <v>0</v>
      </c>
      <c r="L34" s="72"/>
      <c r="M34" s="104" t="s">
        <v>137</v>
      </c>
      <c r="N34" s="104" t="s">
        <v>138</v>
      </c>
    </row>
    <row r="35" customFormat="false" ht="13.05" hidden="false" customHeight="true" outlineLevel="0" collapsed="false">
      <c r="A35" s="79" t="n">
        <v>8</v>
      </c>
      <c r="B35" s="80" t="s">
        <v>139</v>
      </c>
      <c r="C35" s="80"/>
      <c r="D35" s="80"/>
      <c r="E35" s="80"/>
      <c r="F35" s="87"/>
      <c r="G35" s="87" t="n">
        <v>2.28</v>
      </c>
      <c r="H35" s="102" t="n">
        <f aca="false">VALUES!$F53+(25.6-$E$9)+($D$9-0.5*$F$12-29.4)</f>
        <v>16.65</v>
      </c>
      <c r="I35" s="103" t="n">
        <f aca="false">F35*G35*H35</f>
        <v>0</v>
      </c>
      <c r="J35" s="102" t="n">
        <f aca="false">VALUES!$I53+(25.6-$E$15)+($D$15-0.5*$F$18-29.4)</f>
        <v>7.85</v>
      </c>
      <c r="K35" s="103" t="n">
        <f aca="false">F35*G35*J35</f>
        <v>0</v>
      </c>
      <c r="L35" s="72"/>
      <c r="M35" s="105"/>
      <c r="N35" s="105"/>
      <c r="O35" s="104" t="n">
        <f aca="false">VALUES!$C$21</f>
        <v>6</v>
      </c>
      <c r="P35" s="104" t="n">
        <f aca="false">VALUES!$D$21</f>
        <v>7</v>
      </c>
      <c r="Q35" s="104" t="n">
        <f aca="false">VALUES!$E$21</f>
        <v>8</v>
      </c>
      <c r="R35" s="104" t="n">
        <f aca="false">VALUES!$F$21</f>
        <v>9</v>
      </c>
      <c r="S35" s="104" t="n">
        <f aca="false">VALUES!$G$21</f>
        <v>10</v>
      </c>
      <c r="T35" s="104" t="n">
        <f aca="false">VALUES!$H$21</f>
        <v>11</v>
      </c>
      <c r="U35" s="104" t="n">
        <f aca="false">VALUES!$I$21</f>
        <v>12</v>
      </c>
      <c r="V35" s="104" t="n">
        <f aca="false">VALUES!$J$21</f>
        <v>13</v>
      </c>
      <c r="W35" s="104" t="n">
        <f aca="false">VALUES!$K$21</f>
        <v>14</v>
      </c>
      <c r="X35" s="104" t="n">
        <f aca="false">VALUES!$L$21</f>
        <v>15</v>
      </c>
      <c r="Y35" s="104" t="n">
        <f aca="false">VALUES!$M$21</f>
        <v>16</v>
      </c>
      <c r="Z35" s="104" t="n">
        <f aca="false">VALUES!$N$21</f>
        <v>17</v>
      </c>
      <c r="AA35" s="104" t="n">
        <f aca="false">VALUES!$O$21</f>
        <v>18</v>
      </c>
    </row>
    <row r="36" customFormat="false" ht="13.05" hidden="false" customHeight="true" outlineLevel="0" collapsed="false">
      <c r="A36" s="79" t="n">
        <v>9</v>
      </c>
      <c r="B36" s="80" t="s">
        <v>140</v>
      </c>
      <c r="C36" s="80"/>
      <c r="D36" s="80"/>
      <c r="E36" s="80"/>
      <c r="F36" s="87"/>
      <c r="G36" s="87" t="n">
        <v>5.23</v>
      </c>
      <c r="H36" s="102" t="n">
        <f aca="false">M36+(25.6-$E$9)+($D$9-0.5*$F$12-29.4)</f>
        <v>11.15</v>
      </c>
      <c r="I36" s="103" t="n">
        <f aca="false">F36*G36*H36</f>
        <v>0</v>
      </c>
      <c r="J36" s="102" t="n">
        <f aca="false">N36+(25.6-$E$15)+($D$15-0.5*$F$18-29.4)</f>
        <v>6.25</v>
      </c>
      <c r="K36" s="103" t="n">
        <f aca="false">F36*G36*J36</f>
        <v>0</v>
      </c>
      <c r="L36" s="72"/>
      <c r="M36" s="106" t="n">
        <f aca="false">INDEX(O36:AA36,1,MATCH(MAX($O$64:$AA$64),$O$64:$AA$64,0))</f>
        <v>5</v>
      </c>
      <c r="N36" s="107" t="n">
        <f aca="false">INDEX(O36:AA36,1,MATCH(MAX($O$65:$AA$65),$O$65:$AA$65,0))</f>
        <v>5</v>
      </c>
      <c r="O36" s="108" t="n">
        <f aca="false">VALUES!C$61</f>
        <v>-1.1</v>
      </c>
      <c r="P36" s="108" t="n">
        <f aca="false">VALUES!D$61</f>
        <v>-1.1</v>
      </c>
      <c r="Q36" s="108" t="n">
        <f aca="false">VALUES!E$61</f>
        <v>0</v>
      </c>
      <c r="R36" s="108" t="n">
        <f aca="false">VALUES!F$61</f>
        <v>1.1</v>
      </c>
      <c r="S36" s="108" t="n">
        <f aca="false">VALUES!G$61</f>
        <v>2.2</v>
      </c>
      <c r="T36" s="108" t="n">
        <f aca="false">VALUES!H$61</f>
        <v>3.9</v>
      </c>
      <c r="U36" s="108" t="n">
        <f aca="false">VALUES!I$61</f>
        <v>5</v>
      </c>
      <c r="V36" s="108" t="n">
        <f aca="false">VALUES!J$61</f>
        <v>6.7</v>
      </c>
      <c r="W36" s="108" t="n">
        <f aca="false">VALUES!K$61</f>
        <v>7.2</v>
      </c>
      <c r="X36" s="108" t="n">
        <f aca="false">VALUES!L$61</f>
        <v>7.8</v>
      </c>
      <c r="Y36" s="108" t="n">
        <f aca="false">VALUES!M$61</f>
        <v>7.8</v>
      </c>
      <c r="Z36" s="108" t="n">
        <f aca="false">VALUES!N$61</f>
        <v>7.2</v>
      </c>
      <c r="AA36" s="108" t="n">
        <f aca="false">VALUES!O$61</f>
        <v>6.7</v>
      </c>
    </row>
    <row r="37" customFormat="false" ht="13.05" hidden="false" customHeight="true" outlineLevel="0" collapsed="false">
      <c r="A37" s="79" t="n">
        <v>10</v>
      </c>
      <c r="B37" s="80" t="s">
        <v>141</v>
      </c>
      <c r="C37" s="80"/>
      <c r="D37" s="80"/>
      <c r="E37" s="80"/>
      <c r="F37" s="87"/>
      <c r="G37" s="87" t="n">
        <v>5.23</v>
      </c>
      <c r="H37" s="102" t="n">
        <f aca="false">M37+(25.6-$E$9)+($D$9-0.5*$F$12-29.4)</f>
        <v>11.15</v>
      </c>
      <c r="I37" s="103" t="n">
        <f aca="false">F37*G37*H37</f>
        <v>0</v>
      </c>
      <c r="J37" s="102" t="n">
        <f aca="false">N37+(25.6-$E$15)+($D$15-0.5*$F$18-29.4)</f>
        <v>6.25</v>
      </c>
      <c r="K37" s="103" t="n">
        <f aca="false">F37*G37*J37</f>
        <v>0</v>
      </c>
      <c r="L37" s="72"/>
      <c r="M37" s="109" t="n">
        <f aca="false">INDEX(O37:AA37,1,MATCH(MAX($O$64:$AA$64),$O$64:$AA$64,0))</f>
        <v>5</v>
      </c>
      <c r="N37" s="110" t="n">
        <f aca="false">INDEX(O37:AA37,1,MATCH(MAX($O$65:$AA$65),$O$65:$AA$65,0))</f>
        <v>5</v>
      </c>
      <c r="O37" s="108" t="n">
        <f aca="false">VALUES!C$61</f>
        <v>-1.1</v>
      </c>
      <c r="P37" s="108" t="n">
        <f aca="false">VALUES!D$61</f>
        <v>-1.1</v>
      </c>
      <c r="Q37" s="108" t="n">
        <f aca="false">VALUES!E$61</f>
        <v>0</v>
      </c>
      <c r="R37" s="108" t="n">
        <f aca="false">VALUES!F$61</f>
        <v>1.1</v>
      </c>
      <c r="S37" s="108" t="n">
        <f aca="false">VALUES!G$61</f>
        <v>2.2</v>
      </c>
      <c r="T37" s="108" t="n">
        <f aca="false">VALUES!H$61</f>
        <v>3.9</v>
      </c>
      <c r="U37" s="108" t="n">
        <f aca="false">VALUES!I$61</f>
        <v>5</v>
      </c>
      <c r="V37" s="108" t="n">
        <f aca="false">VALUES!J$61</f>
        <v>6.7</v>
      </c>
      <c r="W37" s="108" t="n">
        <f aca="false">VALUES!K$61</f>
        <v>7.2</v>
      </c>
      <c r="X37" s="108" t="n">
        <f aca="false">VALUES!L$61</f>
        <v>7.8</v>
      </c>
      <c r="Y37" s="108" t="n">
        <f aca="false">VALUES!M$61</f>
        <v>7.8</v>
      </c>
      <c r="Z37" s="108" t="n">
        <f aca="false">VALUES!N$61</f>
        <v>7.2</v>
      </c>
      <c r="AA37" s="108" t="n">
        <f aca="false">VALUES!O$61</f>
        <v>6.7</v>
      </c>
    </row>
    <row r="38" customFormat="false" ht="13.05" hidden="false" customHeight="true" outlineLevel="0" collapsed="false">
      <c r="A38" s="79" t="n">
        <v>11</v>
      </c>
      <c r="B38" s="80" t="s">
        <v>142</v>
      </c>
      <c r="C38" s="80"/>
      <c r="D38" s="80"/>
      <c r="E38" s="80"/>
      <c r="F38" s="87"/>
      <c r="G38" s="87" t="n">
        <v>5.23</v>
      </c>
      <c r="H38" s="102" t="n">
        <f aca="false">M38+(25.6-$E$9)+($D$9-0.5*$F$12-29.4)</f>
        <v>11.15</v>
      </c>
      <c r="I38" s="103" t="n">
        <f aca="false">F38*G38*H38</f>
        <v>0</v>
      </c>
      <c r="J38" s="102" t="n">
        <f aca="false">N38+(25.6-$E$15)+($D$15-0.5*$F$18-29.4)</f>
        <v>6.25</v>
      </c>
      <c r="K38" s="103" t="n">
        <f aca="false">F38*G38*J38</f>
        <v>0</v>
      </c>
      <c r="L38" s="72"/>
      <c r="M38" s="109" t="n">
        <f aca="false">INDEX(O38:AA38,1,MATCH(MAX($O$64:$AA$64),$O$64:$AA$64,0))</f>
        <v>5</v>
      </c>
      <c r="N38" s="110" t="n">
        <f aca="false">INDEX(O38:AA38,1,MATCH(MAX($O$65:$AA$65),$O$65:$AA$65,0))</f>
        <v>5</v>
      </c>
      <c r="O38" s="108" t="n">
        <f aca="false">VALUES!C$61</f>
        <v>-1.1</v>
      </c>
      <c r="P38" s="108" t="n">
        <f aca="false">VALUES!D$61</f>
        <v>-1.1</v>
      </c>
      <c r="Q38" s="108" t="n">
        <f aca="false">VALUES!E$61</f>
        <v>0</v>
      </c>
      <c r="R38" s="108" t="n">
        <f aca="false">VALUES!F$61</f>
        <v>1.1</v>
      </c>
      <c r="S38" s="108" t="n">
        <f aca="false">VALUES!G$61</f>
        <v>2.2</v>
      </c>
      <c r="T38" s="108" t="n">
        <f aca="false">VALUES!H$61</f>
        <v>3.9</v>
      </c>
      <c r="U38" s="108" t="n">
        <f aca="false">VALUES!I$61</f>
        <v>5</v>
      </c>
      <c r="V38" s="108" t="n">
        <f aca="false">VALUES!J$61</f>
        <v>6.7</v>
      </c>
      <c r="W38" s="108" t="n">
        <f aca="false">VALUES!K$61</f>
        <v>7.2</v>
      </c>
      <c r="X38" s="108" t="n">
        <f aca="false">VALUES!L$61</f>
        <v>7.8</v>
      </c>
      <c r="Y38" s="108" t="n">
        <f aca="false">VALUES!M$61</f>
        <v>7.8</v>
      </c>
      <c r="Z38" s="108" t="n">
        <f aca="false">VALUES!N$61</f>
        <v>7.2</v>
      </c>
      <c r="AA38" s="108" t="n">
        <f aca="false">VALUES!O$61</f>
        <v>6.7</v>
      </c>
    </row>
    <row r="39" customFormat="false" ht="13.05" hidden="false" customHeight="true" outlineLevel="0" collapsed="false">
      <c r="A39" s="79" t="n">
        <v>12</v>
      </c>
      <c r="B39" s="80" t="s">
        <v>143</v>
      </c>
      <c r="C39" s="80"/>
      <c r="D39" s="80"/>
      <c r="E39" s="80"/>
      <c r="F39" s="87"/>
      <c r="G39" s="87" t="n">
        <v>5.23</v>
      </c>
      <c r="H39" s="102" t="n">
        <f aca="false">M39+(25.6-$E$9)+($D$9-0.5*$F$12-29.4)</f>
        <v>11.15</v>
      </c>
      <c r="I39" s="103" t="n">
        <f aca="false">F39*G39*H39</f>
        <v>0</v>
      </c>
      <c r="J39" s="102" t="n">
        <f aca="false">N39+(25.6-$E$15)+($D$15-0.5*$F$18-29.4)</f>
        <v>6.25</v>
      </c>
      <c r="K39" s="103" t="n">
        <f aca="false">F39*G39*J39</f>
        <v>0</v>
      </c>
      <c r="L39" s="72"/>
      <c r="M39" s="109" t="n">
        <f aca="false">INDEX(O39:AA39,1,MATCH(MAX($O$64:$AA$64),$O$64:$AA$64,0))</f>
        <v>5</v>
      </c>
      <c r="N39" s="110" t="n">
        <f aca="false">INDEX(O39:AA39,1,MATCH(MAX($O$65:$AA$65),$O$65:$AA$65,0))</f>
        <v>5</v>
      </c>
      <c r="O39" s="108" t="n">
        <f aca="false">VALUES!C$61</f>
        <v>-1.1</v>
      </c>
      <c r="P39" s="108" t="n">
        <f aca="false">VALUES!D$61</f>
        <v>-1.1</v>
      </c>
      <c r="Q39" s="108" t="n">
        <f aca="false">VALUES!E$61</f>
        <v>0</v>
      </c>
      <c r="R39" s="108" t="n">
        <f aca="false">VALUES!F$61</f>
        <v>1.1</v>
      </c>
      <c r="S39" s="108" t="n">
        <f aca="false">VALUES!G$61</f>
        <v>2.2</v>
      </c>
      <c r="T39" s="108" t="n">
        <f aca="false">VALUES!H$61</f>
        <v>3.9</v>
      </c>
      <c r="U39" s="108" t="n">
        <f aca="false">VALUES!I$61</f>
        <v>5</v>
      </c>
      <c r="V39" s="108" t="n">
        <f aca="false">VALUES!J$61</f>
        <v>6.7</v>
      </c>
      <c r="W39" s="108" t="n">
        <f aca="false">VALUES!K$61</f>
        <v>7.2</v>
      </c>
      <c r="X39" s="108" t="n">
        <f aca="false">VALUES!L$61</f>
        <v>7.8</v>
      </c>
      <c r="Y39" s="108" t="n">
        <f aca="false">VALUES!M$61</f>
        <v>7.8</v>
      </c>
      <c r="Z39" s="108" t="n">
        <f aca="false">VALUES!N$61</f>
        <v>7.2</v>
      </c>
      <c r="AA39" s="108" t="n">
        <f aca="false">VALUES!O$61</f>
        <v>6.7</v>
      </c>
    </row>
    <row r="40" customFormat="false" ht="12.8" hidden="false" customHeight="true" outlineLevel="0" collapsed="false">
      <c r="A40" s="79" t="n">
        <v>13</v>
      </c>
      <c r="B40" s="80" t="s">
        <v>144</v>
      </c>
      <c r="C40" s="80"/>
      <c r="D40" s="80"/>
      <c r="E40" s="80"/>
      <c r="F40" s="87" t="n">
        <f aca="false">F32*0.3</f>
        <v>11.04</v>
      </c>
      <c r="G40" s="87" t="n">
        <v>5.23</v>
      </c>
      <c r="H40" s="102" t="n">
        <f aca="false">M40+(25.6-$E$9)+($D$9-0.5*$F$12-29.4)</f>
        <v>11.15</v>
      </c>
      <c r="I40" s="103" t="n">
        <f aca="false">F40*G40*H40</f>
        <v>643.79208</v>
      </c>
      <c r="J40" s="102" t="n">
        <f aca="false">N40+(25.6-$E$15)+($D$15-0.5*$F$18-29.4)</f>
        <v>6.25</v>
      </c>
      <c r="K40" s="103" t="n">
        <f aca="false">F40*G40*J40</f>
        <v>360.87</v>
      </c>
      <c r="L40" s="72"/>
      <c r="M40" s="109" t="n">
        <f aca="false">INDEX(O40:AA40,1,MATCH(MAX($O$64:$AA$64),$O$64:$AA$64,0))</f>
        <v>5</v>
      </c>
      <c r="N40" s="110" t="n">
        <f aca="false">INDEX(O40:AA40,1,MATCH(MAX($O$65:$AA$65),$O$65:$AA$65,0))</f>
        <v>5</v>
      </c>
      <c r="O40" s="108" t="n">
        <f aca="false">VALUES!C$61</f>
        <v>-1.1</v>
      </c>
      <c r="P40" s="108" t="n">
        <f aca="false">VALUES!D$61</f>
        <v>-1.1</v>
      </c>
      <c r="Q40" s="108" t="n">
        <f aca="false">VALUES!E$61</f>
        <v>0</v>
      </c>
      <c r="R40" s="108" t="n">
        <f aca="false">VALUES!F$61</f>
        <v>1.1</v>
      </c>
      <c r="S40" s="108" t="n">
        <f aca="false">VALUES!G$61</f>
        <v>2.2</v>
      </c>
      <c r="T40" s="108" t="n">
        <f aca="false">VALUES!H$61</f>
        <v>3.9</v>
      </c>
      <c r="U40" s="108" t="n">
        <f aca="false">VALUES!I$61</f>
        <v>5</v>
      </c>
      <c r="V40" s="108" t="n">
        <f aca="false">VALUES!J$61</f>
        <v>6.7</v>
      </c>
      <c r="W40" s="108" t="n">
        <f aca="false">VALUES!K$61</f>
        <v>7.2</v>
      </c>
      <c r="X40" s="108" t="n">
        <f aca="false">VALUES!L$61</f>
        <v>7.8</v>
      </c>
      <c r="Y40" s="108" t="n">
        <f aca="false">VALUES!M$61</f>
        <v>7.8</v>
      </c>
      <c r="Z40" s="108" t="n">
        <f aca="false">VALUES!N$61</f>
        <v>7.2</v>
      </c>
      <c r="AA40" s="108" t="n">
        <f aca="false">VALUES!O$61</f>
        <v>6.7</v>
      </c>
    </row>
    <row r="41" customFormat="false" ht="13.05" hidden="false" customHeight="true" outlineLevel="0" collapsed="false">
      <c r="A41" s="79" t="n">
        <v>14</v>
      </c>
      <c r="B41" s="80" t="s">
        <v>145</v>
      </c>
      <c r="C41" s="80"/>
      <c r="D41" s="80"/>
      <c r="E41" s="80"/>
      <c r="F41" s="87"/>
      <c r="G41" s="87" t="n">
        <v>5.23</v>
      </c>
      <c r="H41" s="102" t="n">
        <f aca="false">M41+(25.6-$E$9)+($D$9-0.5*$F$12-29.4)</f>
        <v>11.15</v>
      </c>
      <c r="I41" s="103" t="n">
        <f aca="false">F41*G41*H41</f>
        <v>0</v>
      </c>
      <c r="J41" s="102" t="n">
        <f aca="false">N41+(25.6-$E$15)+($D$15-0.5*$F$18-29.4)</f>
        <v>6.25</v>
      </c>
      <c r="K41" s="103" t="n">
        <f aca="false">F41*G41*J41</f>
        <v>0</v>
      </c>
      <c r="L41" s="72"/>
      <c r="M41" s="109" t="n">
        <f aca="false">INDEX(O41:AA41,1,MATCH(MAX($O$64:$AA$64),$O$64:$AA$64,0))</f>
        <v>5</v>
      </c>
      <c r="N41" s="110" t="n">
        <f aca="false">INDEX(O41:AA41,1,MATCH(MAX($O$65:$AA$65),$O$65:$AA$65,0))</f>
        <v>5</v>
      </c>
      <c r="O41" s="108" t="n">
        <f aca="false">VALUES!C$61</f>
        <v>-1.1</v>
      </c>
      <c r="P41" s="108" t="n">
        <f aca="false">VALUES!D$61</f>
        <v>-1.1</v>
      </c>
      <c r="Q41" s="108" t="n">
        <f aca="false">VALUES!E$61</f>
        <v>0</v>
      </c>
      <c r="R41" s="108" t="n">
        <f aca="false">VALUES!F$61</f>
        <v>1.1</v>
      </c>
      <c r="S41" s="108" t="n">
        <f aca="false">VALUES!G$61</f>
        <v>2.2</v>
      </c>
      <c r="T41" s="108" t="n">
        <f aca="false">VALUES!H$61</f>
        <v>3.9</v>
      </c>
      <c r="U41" s="108" t="n">
        <f aca="false">VALUES!I$61</f>
        <v>5</v>
      </c>
      <c r="V41" s="108" t="n">
        <f aca="false">VALUES!J$61</f>
        <v>6.7</v>
      </c>
      <c r="W41" s="108" t="n">
        <f aca="false">VALUES!K$61</f>
        <v>7.2</v>
      </c>
      <c r="X41" s="108" t="n">
        <f aca="false">VALUES!L$61</f>
        <v>7.8</v>
      </c>
      <c r="Y41" s="108" t="n">
        <f aca="false">VALUES!M$61</f>
        <v>7.8</v>
      </c>
      <c r="Z41" s="108" t="n">
        <f aca="false">VALUES!N$61</f>
        <v>7.2</v>
      </c>
      <c r="AA41" s="108" t="n">
        <f aca="false">VALUES!O$61</f>
        <v>6.7</v>
      </c>
    </row>
    <row r="42" customFormat="false" ht="13.05" hidden="false" customHeight="true" outlineLevel="0" collapsed="false">
      <c r="A42" s="79" t="n">
        <v>15</v>
      </c>
      <c r="B42" s="80" t="s">
        <v>146</v>
      </c>
      <c r="C42" s="80"/>
      <c r="D42" s="80"/>
      <c r="E42" s="80"/>
      <c r="F42" s="87"/>
      <c r="G42" s="87" t="n">
        <v>5.23</v>
      </c>
      <c r="H42" s="102" t="n">
        <f aca="false">M42+(25.6-$E$9)+($D$9-0.5*$F$12-29.4)</f>
        <v>11.15</v>
      </c>
      <c r="I42" s="103" t="n">
        <f aca="false">F42*G42*H42</f>
        <v>0</v>
      </c>
      <c r="J42" s="102" t="n">
        <f aca="false">N42+(25.6-$E$15)+($D$15-0.5*$F$18-29.4)</f>
        <v>6.25</v>
      </c>
      <c r="K42" s="103" t="n">
        <f aca="false">F42*G42*J42</f>
        <v>0</v>
      </c>
      <c r="L42" s="72"/>
      <c r="M42" s="109" t="n">
        <f aca="false">INDEX(O42:AA42,1,MATCH(MAX($O$64:$AA$64),$O$64:$AA$64,0))</f>
        <v>5</v>
      </c>
      <c r="N42" s="110" t="n">
        <f aca="false">INDEX(O42:AA42,1,MATCH(MAX($O$65:$AA$65),$O$65:$AA$65,0))</f>
        <v>5</v>
      </c>
      <c r="O42" s="108" t="n">
        <f aca="false">VALUES!C$61</f>
        <v>-1.1</v>
      </c>
      <c r="P42" s="108" t="n">
        <f aca="false">VALUES!D$61</f>
        <v>-1.1</v>
      </c>
      <c r="Q42" s="108" t="n">
        <f aca="false">VALUES!E$61</f>
        <v>0</v>
      </c>
      <c r="R42" s="108" t="n">
        <f aca="false">VALUES!F$61</f>
        <v>1.1</v>
      </c>
      <c r="S42" s="108" t="n">
        <f aca="false">VALUES!G$61</f>
        <v>2.2</v>
      </c>
      <c r="T42" s="108" t="n">
        <f aca="false">VALUES!H$61</f>
        <v>3.9</v>
      </c>
      <c r="U42" s="108" t="n">
        <f aca="false">VALUES!I$61</f>
        <v>5</v>
      </c>
      <c r="V42" s="108" t="n">
        <f aca="false">VALUES!J$61</f>
        <v>6.7</v>
      </c>
      <c r="W42" s="108" t="n">
        <f aca="false">VALUES!K$61</f>
        <v>7.2</v>
      </c>
      <c r="X42" s="108" t="n">
        <f aca="false">VALUES!L$61</f>
        <v>7.8</v>
      </c>
      <c r="Y42" s="108" t="n">
        <f aca="false">VALUES!M$61</f>
        <v>7.8</v>
      </c>
      <c r="Z42" s="108" t="n">
        <f aca="false">VALUES!N$61</f>
        <v>7.2</v>
      </c>
      <c r="AA42" s="108" t="n">
        <f aca="false">VALUES!O$61</f>
        <v>6.7</v>
      </c>
    </row>
    <row r="43" customFormat="false" ht="13.05" hidden="false" customHeight="true" outlineLevel="0" collapsed="false">
      <c r="A43" s="79" t="n">
        <v>16</v>
      </c>
      <c r="B43" s="80" t="s">
        <v>147</v>
      </c>
      <c r="C43" s="80"/>
      <c r="D43" s="80"/>
      <c r="E43" s="80"/>
      <c r="F43" s="87"/>
      <c r="G43" s="87" t="n">
        <v>5.23</v>
      </c>
      <c r="H43" s="102" t="n">
        <f aca="false">M43+(25.6-$E$9)+($D$9-0.5*$F$12-29.4)</f>
        <v>11.15</v>
      </c>
      <c r="I43" s="103" t="n">
        <f aca="false">F43*G43*H43</f>
        <v>0</v>
      </c>
      <c r="J43" s="102" t="n">
        <f aca="false">N43+(25.6-$E$15)+($D$15-0.5*$F$18-29.4)</f>
        <v>6.25</v>
      </c>
      <c r="K43" s="103" t="n">
        <f aca="false">F43*G43*J43</f>
        <v>0</v>
      </c>
      <c r="L43" s="72"/>
      <c r="M43" s="109" t="n">
        <f aca="false">INDEX(O43:AA43,1,MATCH(MAX($O$64:$AA$64),$O$64:$AA$64,0))</f>
        <v>5</v>
      </c>
      <c r="N43" s="110" t="n">
        <f aca="false">INDEX(O43:AA43,1,MATCH(MAX($O$65:$AA$65),$O$65:$AA$65,0))</f>
        <v>5</v>
      </c>
      <c r="O43" s="108" t="n">
        <f aca="false">VALUES!C$61</f>
        <v>-1.1</v>
      </c>
      <c r="P43" s="108" t="n">
        <f aca="false">VALUES!D$61</f>
        <v>-1.1</v>
      </c>
      <c r="Q43" s="108" t="n">
        <f aca="false">VALUES!E$61</f>
        <v>0</v>
      </c>
      <c r="R43" s="108" t="n">
        <f aca="false">VALUES!F$61</f>
        <v>1.1</v>
      </c>
      <c r="S43" s="108" t="n">
        <f aca="false">VALUES!G$61</f>
        <v>2.2</v>
      </c>
      <c r="T43" s="108" t="n">
        <f aca="false">VALUES!H$61</f>
        <v>3.9</v>
      </c>
      <c r="U43" s="108" t="n">
        <f aca="false">VALUES!I$61</f>
        <v>5</v>
      </c>
      <c r="V43" s="108" t="n">
        <f aca="false">VALUES!J$61</f>
        <v>6.7</v>
      </c>
      <c r="W43" s="108" t="n">
        <f aca="false">VALUES!K$61</f>
        <v>7.2</v>
      </c>
      <c r="X43" s="108" t="n">
        <f aca="false">VALUES!L$61</f>
        <v>7.8</v>
      </c>
      <c r="Y43" s="108" t="n">
        <f aca="false">VALUES!M$61</f>
        <v>7.8</v>
      </c>
      <c r="Z43" s="108" t="n">
        <f aca="false">VALUES!N$61</f>
        <v>7.2</v>
      </c>
      <c r="AA43" s="108" t="n">
        <f aca="false">VALUES!O$61</f>
        <v>6.7</v>
      </c>
    </row>
    <row r="44" customFormat="false" ht="12.8" hidden="false" customHeight="true" outlineLevel="0" collapsed="false">
      <c r="A44" s="79" t="n">
        <v>17</v>
      </c>
      <c r="B44" s="80" t="s">
        <v>148</v>
      </c>
      <c r="C44" s="80"/>
      <c r="D44" s="80"/>
      <c r="E44" s="80"/>
      <c r="F44" s="87" t="n">
        <f aca="false">(6.9+6.9+8)*4.6</f>
        <v>100.28</v>
      </c>
      <c r="G44" s="87" t="n">
        <v>2.28</v>
      </c>
      <c r="H44" s="102" t="n">
        <f aca="false">$D$9-$E$9-3</f>
        <v>12.2</v>
      </c>
      <c r="I44" s="103" t="n">
        <f aca="false">F44*G44*H44</f>
        <v>2789.38848</v>
      </c>
      <c r="J44" s="102" t="n">
        <f aca="false">$D$15-$E$15-3</f>
        <v>7.3</v>
      </c>
      <c r="K44" s="103" t="n">
        <f aca="false">F44*G44*J44</f>
        <v>1669.06032</v>
      </c>
      <c r="L44" s="72"/>
      <c r="M44" s="111"/>
      <c r="N44" s="111"/>
    </row>
    <row r="45" customFormat="false" ht="13.05" hidden="false" customHeight="true" outlineLevel="0" collapsed="false">
      <c r="A45" s="79" t="n">
        <v>18</v>
      </c>
      <c r="B45" s="80" t="s">
        <v>149</v>
      </c>
      <c r="C45" s="80"/>
      <c r="D45" s="80"/>
      <c r="E45" s="80"/>
      <c r="F45" s="87"/>
      <c r="G45" s="87" t="n">
        <v>7.1</v>
      </c>
      <c r="H45" s="102" t="n">
        <f aca="false">$D$9-$E$9-3</f>
        <v>12.2</v>
      </c>
      <c r="I45" s="103" t="n">
        <f aca="false">F45*G45*H45</f>
        <v>0</v>
      </c>
      <c r="J45" s="102" t="n">
        <f aca="false">$D$15-$E$15-3</f>
        <v>7.3</v>
      </c>
      <c r="K45" s="103" t="n">
        <f aca="false">F45*G45*J45</f>
        <v>0</v>
      </c>
      <c r="L45" s="72"/>
      <c r="M45" s="111"/>
      <c r="N45" s="111"/>
    </row>
    <row r="46" customFormat="false" ht="13.05" hidden="false" customHeight="true" outlineLevel="0" collapsed="false">
      <c r="A46" s="79" t="n">
        <v>19</v>
      </c>
      <c r="B46" s="80" t="s">
        <v>150</v>
      </c>
      <c r="C46" s="80"/>
      <c r="D46" s="80"/>
      <c r="E46" s="80"/>
      <c r="F46" s="87" t="n">
        <f aca="false">B85</f>
        <v>55.2</v>
      </c>
      <c r="G46" s="87" t="n">
        <v>3.19</v>
      </c>
      <c r="H46" s="102" t="n">
        <f aca="false">$D$9-$E$9-3</f>
        <v>12.2</v>
      </c>
      <c r="I46" s="103" t="n">
        <f aca="false">F46*G46*H46</f>
        <v>2148.2736</v>
      </c>
      <c r="J46" s="102" t="n">
        <f aca="false">$D$15-$E$15-3</f>
        <v>7.3</v>
      </c>
      <c r="K46" s="103" t="n">
        <f aca="false">F46*G46*J46</f>
        <v>1285.4424</v>
      </c>
      <c r="L46" s="72"/>
      <c r="M46" s="111"/>
      <c r="N46" s="111"/>
    </row>
    <row r="47" customFormat="false" ht="13.05" hidden="false" customHeight="true" outlineLevel="0" collapsed="false">
      <c r="A47" s="79" t="n">
        <v>20</v>
      </c>
      <c r="B47" s="80" t="s">
        <v>151</v>
      </c>
      <c r="C47" s="80"/>
      <c r="D47" s="80"/>
      <c r="E47" s="80"/>
      <c r="F47" s="87"/>
      <c r="G47" s="87" t="n">
        <v>0.7</v>
      </c>
      <c r="H47" s="102" t="n">
        <f aca="false">VALUES!$F$39+(25.6-$E$9)+($D$9-0.5*$F$12-29.4)</f>
        <v>31.65</v>
      </c>
      <c r="I47" s="103" t="n">
        <f aca="false">F47*G47*H47</f>
        <v>0</v>
      </c>
      <c r="J47" s="102" t="n">
        <f aca="false">VALUES!$I$39+(25.6-$E$15)+($D$15-0.5*$F$18-29.4)</f>
        <v>25.75</v>
      </c>
      <c r="K47" s="103" t="n">
        <f aca="false">F47*G47*J47</f>
        <v>0</v>
      </c>
      <c r="M47" s="111"/>
      <c r="N47" s="111"/>
    </row>
    <row r="48" customFormat="false" ht="24.25" hidden="false" customHeight="true" outlineLevel="0" collapsed="false">
      <c r="A48" s="79" t="n">
        <v>21</v>
      </c>
      <c r="B48" s="80" t="s">
        <v>152</v>
      </c>
      <c r="C48" s="80"/>
      <c r="D48" s="80"/>
      <c r="E48" s="80"/>
      <c r="F48" s="87" t="n">
        <f aca="false">B85</f>
        <v>55.2</v>
      </c>
      <c r="G48" s="87" t="n">
        <v>3.19</v>
      </c>
      <c r="H48" s="102" t="n">
        <f aca="false">$D$9-$E$9-3</f>
        <v>12.2</v>
      </c>
      <c r="I48" s="103" t="n">
        <f aca="false">F48*G48*H48</f>
        <v>2148.2736</v>
      </c>
      <c r="J48" s="102" t="n">
        <f aca="false">$D$15-$E$15-3</f>
        <v>7.3</v>
      </c>
      <c r="K48" s="103" t="n">
        <f aca="false">F48*G48*J48</f>
        <v>1285.4424</v>
      </c>
      <c r="M48" s="111"/>
      <c r="N48" s="111"/>
    </row>
    <row r="49" customFormat="false" ht="13.05" hidden="false" customHeight="true" outlineLevel="0" collapsed="false">
      <c r="A49" s="79" t="n">
        <v>22</v>
      </c>
      <c r="B49" s="80" t="s">
        <v>153</v>
      </c>
      <c r="C49" s="80"/>
      <c r="D49" s="80"/>
      <c r="E49" s="80"/>
      <c r="F49" s="87"/>
      <c r="G49" s="87" t="n">
        <v>5.23</v>
      </c>
      <c r="H49" s="102" t="n">
        <f aca="false">M49+(25.6-$E$9)+($D$9-0.5*$F$12-29.4)</f>
        <v>11.15</v>
      </c>
      <c r="I49" s="103" t="n">
        <f aca="false">F49*G49*H49</f>
        <v>0</v>
      </c>
      <c r="J49" s="102" t="n">
        <f aca="false">N49+(25.6-$E$15)+($D$15-0.5*$F$18-29.4)</f>
        <v>6.25</v>
      </c>
      <c r="K49" s="103" t="n">
        <f aca="false">F49*G49*J49</f>
        <v>0</v>
      </c>
      <c r="M49" s="109" t="n">
        <f aca="false">INDEX(O49:AA49,1,MATCH(MAX($O$64:$AA$64),$O$64:$AA$64,0))</f>
        <v>5</v>
      </c>
      <c r="N49" s="110" t="n">
        <f aca="false">INDEX(O49:AA49,1,MATCH(MAX($O$65:$AA$65),$O$65:$AA$65,0))</f>
        <v>5</v>
      </c>
      <c r="O49" s="108" t="n">
        <f aca="false">VALUES!C$61</f>
        <v>-1.1</v>
      </c>
      <c r="P49" s="108" t="n">
        <f aca="false">VALUES!D$61</f>
        <v>-1.1</v>
      </c>
      <c r="Q49" s="108" t="n">
        <f aca="false">VALUES!E$61</f>
        <v>0</v>
      </c>
      <c r="R49" s="108" t="n">
        <f aca="false">VALUES!F$61</f>
        <v>1.1</v>
      </c>
      <c r="S49" s="108" t="n">
        <f aca="false">VALUES!G$61</f>
        <v>2.2</v>
      </c>
      <c r="T49" s="108" t="n">
        <f aca="false">VALUES!H$61</f>
        <v>3.9</v>
      </c>
      <c r="U49" s="108" t="n">
        <f aca="false">VALUES!I$61</f>
        <v>5</v>
      </c>
      <c r="V49" s="108" t="n">
        <f aca="false">VALUES!J$61</f>
        <v>6.7</v>
      </c>
      <c r="W49" s="108" t="n">
        <f aca="false">VALUES!K$61</f>
        <v>7.2</v>
      </c>
      <c r="X49" s="108" t="n">
        <f aca="false">VALUES!L$61</f>
        <v>7.8</v>
      </c>
      <c r="Y49" s="108" t="n">
        <f aca="false">VALUES!M$61</f>
        <v>7.8</v>
      </c>
      <c r="Z49" s="108" t="n">
        <f aca="false">VALUES!N$61</f>
        <v>7.2</v>
      </c>
      <c r="AA49" s="108" t="n">
        <f aca="false">VALUES!O$61</f>
        <v>6.7</v>
      </c>
    </row>
    <row r="50" customFormat="false" ht="13.05" hidden="false" customHeight="true" outlineLevel="0" collapsed="false">
      <c r="A50" s="79" t="n">
        <v>23</v>
      </c>
      <c r="B50" s="82" t="s">
        <v>154</v>
      </c>
      <c r="C50" s="82"/>
      <c r="D50" s="82"/>
      <c r="E50" s="82"/>
      <c r="F50" s="87"/>
      <c r="G50" s="87"/>
      <c r="H50" s="87"/>
      <c r="I50" s="103" t="n">
        <f aca="false">F50*G50*H50</f>
        <v>0</v>
      </c>
      <c r="J50" s="87"/>
      <c r="K50" s="103" t="n">
        <f aca="false">F50*G50*J50</f>
        <v>0</v>
      </c>
      <c r="L50" s="72"/>
      <c r="M50" s="111"/>
      <c r="N50" s="111"/>
    </row>
    <row r="51" s="117" customFormat="true" ht="13.05" hidden="false" customHeight="true" outlineLevel="0" collapsed="false">
      <c r="A51" s="112" t="s">
        <v>22</v>
      </c>
      <c r="B51" s="113" t="s">
        <v>155</v>
      </c>
      <c r="C51" s="113"/>
      <c r="D51" s="113"/>
      <c r="E51" s="113"/>
      <c r="F51" s="112"/>
      <c r="G51" s="112"/>
      <c r="H51" s="112"/>
      <c r="I51" s="114" t="n">
        <f aca="false">SUM(I28:I50)</f>
        <v>8732.38056</v>
      </c>
      <c r="J51" s="112"/>
      <c r="K51" s="114" t="n">
        <f aca="false">SUM(K28:K50)</f>
        <v>5746.10472</v>
      </c>
      <c r="L51" s="115"/>
      <c r="M51" s="116"/>
      <c r="N51" s="116"/>
      <c r="AMJ51" s="71"/>
    </row>
    <row r="52" s="117" customFormat="true" ht="12.8" hidden="false" customHeight="false" outlineLevel="0" collapsed="false">
      <c r="M52" s="116"/>
      <c r="N52" s="116"/>
    </row>
    <row r="53" customFormat="false" ht="13.05" hidden="false" customHeight="true" outlineLevel="0" collapsed="false">
      <c r="A53" s="101" t="s">
        <v>156</v>
      </c>
      <c r="B53" s="72"/>
      <c r="C53" s="72"/>
      <c r="D53" s="72"/>
      <c r="E53" s="72"/>
      <c r="F53" s="118" t="s">
        <v>97</v>
      </c>
      <c r="G53" s="118"/>
      <c r="H53" s="118"/>
      <c r="I53" s="119" t="s">
        <v>107</v>
      </c>
      <c r="J53" s="119"/>
      <c r="K53" s="119"/>
      <c r="L53" s="105"/>
      <c r="M53" s="120"/>
      <c r="N53" s="121"/>
    </row>
    <row r="54" customFormat="false" ht="35.4" hidden="false" customHeight="true" outlineLevel="0" collapsed="false">
      <c r="A54" s="118" t="s">
        <v>157</v>
      </c>
      <c r="B54" s="118" t="s">
        <v>121</v>
      </c>
      <c r="C54" s="118"/>
      <c r="D54" s="118" t="s">
        <v>158</v>
      </c>
      <c r="E54" s="118" t="s">
        <v>159</v>
      </c>
      <c r="F54" s="118" t="s">
        <v>160</v>
      </c>
      <c r="G54" s="118" t="s">
        <v>161</v>
      </c>
      <c r="H54" s="118" t="s">
        <v>162</v>
      </c>
      <c r="I54" s="118" t="s">
        <v>160</v>
      </c>
      <c r="J54" s="118" t="s">
        <v>161</v>
      </c>
      <c r="K54" s="118" t="s">
        <v>162</v>
      </c>
      <c r="L54" s="122" t="s">
        <v>163</v>
      </c>
      <c r="M54" s="123" t="n">
        <f aca="false">INDEX(O54:AA54,1,MATCH(MAX($O$64:$AA$64),$O$64:$AA$64,0))</f>
        <v>12</v>
      </c>
      <c r="N54" s="123" t="n">
        <f aca="false">INDEX(O54:AA54,1,MATCH(MAX($O$65:$AA$65),$O$65:$AA$65,0))</f>
        <v>12</v>
      </c>
      <c r="O54" s="104" t="n">
        <f aca="false">VALUES!$C$21</f>
        <v>6</v>
      </c>
      <c r="P54" s="104" t="n">
        <f aca="false">VALUES!$D$21</f>
        <v>7</v>
      </c>
      <c r="Q54" s="104" t="n">
        <f aca="false">VALUES!$E$21</f>
        <v>8</v>
      </c>
      <c r="R54" s="104" t="n">
        <f aca="false">VALUES!$F$21</f>
        <v>9</v>
      </c>
      <c r="S54" s="104" t="n">
        <f aca="false">VALUES!$G$21</f>
        <v>10</v>
      </c>
      <c r="T54" s="104" t="n">
        <f aca="false">VALUES!$H$21</f>
        <v>11</v>
      </c>
      <c r="U54" s="104" t="n">
        <f aca="false">VALUES!$I$21</f>
        <v>12</v>
      </c>
      <c r="V54" s="104" t="n">
        <f aca="false">VALUES!$J$21</f>
        <v>13</v>
      </c>
      <c r="W54" s="104" t="n">
        <f aca="false">VALUES!$K$21</f>
        <v>14</v>
      </c>
      <c r="X54" s="104" t="n">
        <f aca="false">VALUES!$L$21</f>
        <v>15</v>
      </c>
      <c r="Y54" s="104" t="n">
        <f aca="false">VALUES!$M$21</f>
        <v>16</v>
      </c>
      <c r="Z54" s="104" t="n">
        <f aca="false">VALUES!$N$21</f>
        <v>17</v>
      </c>
      <c r="AA54" s="104" t="n">
        <f aca="false">VALUES!$O$21</f>
        <v>18</v>
      </c>
    </row>
    <row r="55" customFormat="false" ht="13.05" hidden="false" customHeight="true" outlineLevel="0" collapsed="false">
      <c r="A55" s="79" t="n">
        <v>1</v>
      </c>
      <c r="B55" s="124" t="s">
        <v>140</v>
      </c>
      <c r="C55" s="124"/>
      <c r="D55" s="79" t="n">
        <f aca="false">F36</f>
        <v>0</v>
      </c>
      <c r="E55" s="87" t="n">
        <v>0.7</v>
      </c>
      <c r="F55" s="102" t="n">
        <f aca="false">M55</f>
        <v>0.89</v>
      </c>
      <c r="G55" s="79" t="n">
        <f aca="false">VALUES!$D$8</f>
        <v>237</v>
      </c>
      <c r="H55" s="125" t="n">
        <f aca="false">D55*G55*E55*F55</f>
        <v>0</v>
      </c>
      <c r="I55" s="102" t="n">
        <f aca="false">N55</f>
        <v>0.89</v>
      </c>
      <c r="J55" s="79" t="n">
        <f aca="false">VALUES!$F$8</f>
        <v>101</v>
      </c>
      <c r="K55" s="103" t="n">
        <f aca="false">D55*E55*I55*J55</f>
        <v>0</v>
      </c>
      <c r="L55" s="105"/>
      <c r="M55" s="109" t="n">
        <f aca="false">INDEX(O55:AA55,1,MATCH(MAX($O$64:$AA$64),$O$64:$AA$64,0))</f>
        <v>0.89</v>
      </c>
      <c r="N55" s="106" t="n">
        <f aca="false">INDEX(O55:AA55,1,MATCH(MAX($O$65:$AA$65),$O$65:$AA$65,0))</f>
        <v>0.89</v>
      </c>
      <c r="O55" s="70" t="n">
        <f aca="false">VALUES!$C$23</f>
        <v>0.73</v>
      </c>
      <c r="P55" s="70" t="n">
        <f aca="false">VALUES!$D$23</f>
        <v>0.66</v>
      </c>
      <c r="Q55" s="70" t="n">
        <f aca="false">VALUES!$E$23</f>
        <v>0.65</v>
      </c>
      <c r="R55" s="70" t="n">
        <f aca="false">VALUES!$F$23</f>
        <v>0.73</v>
      </c>
      <c r="S55" s="70" t="n">
        <f aca="false">VALUES!$G$23</f>
        <v>0.8</v>
      </c>
      <c r="T55" s="70" t="n">
        <f aca="false">VALUES!$H$23</f>
        <v>0.86</v>
      </c>
      <c r="U55" s="70" t="n">
        <f aca="false">VALUES!$I$23</f>
        <v>0.89</v>
      </c>
      <c r="V55" s="70" t="n">
        <f aca="false">VALUES!$J$23</f>
        <v>0.89</v>
      </c>
      <c r="W55" s="70" t="n">
        <f aca="false">VALUES!$K$23</f>
        <v>0.86</v>
      </c>
      <c r="X55" s="70" t="n">
        <f aca="false">VALUES!$L$23</f>
        <v>0.82</v>
      </c>
      <c r="Y55" s="70" t="n">
        <f aca="false">VALUES!$M$23</f>
        <v>0.75</v>
      </c>
      <c r="Z55" s="70" t="n">
        <f aca="false">VALUES!$N$23</f>
        <v>0.78</v>
      </c>
      <c r="AA55" s="70" t="n">
        <f aca="false">VALUES!$O$23</f>
        <v>0.91</v>
      </c>
    </row>
    <row r="56" customFormat="false" ht="13.05" hidden="false" customHeight="true" outlineLevel="0" collapsed="false">
      <c r="A56" s="79" t="n">
        <v>2</v>
      </c>
      <c r="B56" s="124" t="s">
        <v>141</v>
      </c>
      <c r="C56" s="124"/>
      <c r="D56" s="79" t="n">
        <f aca="false">F37</f>
        <v>0</v>
      </c>
      <c r="E56" s="87" t="n">
        <v>0.7</v>
      </c>
      <c r="F56" s="102" t="n">
        <f aca="false">M56</f>
        <v>0.27</v>
      </c>
      <c r="G56" s="79" t="n">
        <f aca="false">VALUES!$D$9</f>
        <v>625</v>
      </c>
      <c r="H56" s="103" t="n">
        <f aca="false">D56*G56*E56*F56</f>
        <v>0</v>
      </c>
      <c r="I56" s="102" t="n">
        <f aca="false">N56</f>
        <v>0.27</v>
      </c>
      <c r="J56" s="79" t="n">
        <f aca="false">VALUES!$F$9</f>
        <v>199</v>
      </c>
      <c r="K56" s="103" t="n">
        <f aca="false">D56*E56*I56*J56</f>
        <v>0</v>
      </c>
      <c r="L56" s="105"/>
      <c r="M56" s="109" t="n">
        <f aca="false">INDEX(O56:AA56,1,MATCH(MAX($O$64:$AA$64),$O$64:$AA$64,0))</f>
        <v>0.27</v>
      </c>
      <c r="N56" s="109" t="n">
        <f aca="false">INDEX(O56:AA56,1,MATCH(MAX($O$65:$AA$65),$O$65:$AA$65,0))</f>
        <v>0.27</v>
      </c>
      <c r="O56" s="70" t="n">
        <f aca="false">VALUES!$C$24</f>
        <v>0.56</v>
      </c>
      <c r="P56" s="70" t="n">
        <f aca="false">VALUES!$D$24</f>
        <v>0.76</v>
      </c>
      <c r="Q56" s="70" t="n">
        <f aca="false">VALUES!$E$24</f>
        <v>0.74</v>
      </c>
      <c r="R56" s="70" t="n">
        <f aca="false">VALUES!$F$24</f>
        <v>0.58</v>
      </c>
      <c r="S56" s="70" t="n">
        <f aca="false">VALUES!$G$24</f>
        <v>0.37</v>
      </c>
      <c r="T56" s="70" t="n">
        <f aca="false">VALUES!$H$24</f>
        <v>0.29</v>
      </c>
      <c r="U56" s="70" t="n">
        <f aca="false">VALUES!$I$24</f>
        <v>0.27</v>
      </c>
      <c r="V56" s="70" t="n">
        <f aca="false">VALUES!$J$24</f>
        <v>0.26</v>
      </c>
      <c r="W56" s="70" t="n">
        <f aca="false">VALUES!$K$24</f>
        <v>0.24</v>
      </c>
      <c r="X56" s="70" t="n">
        <f aca="false">VALUES!$L$24</f>
        <v>0.22</v>
      </c>
      <c r="Y56" s="70" t="n">
        <f aca="false">VALUES!$M$24</f>
        <v>0.2</v>
      </c>
      <c r="Z56" s="70" t="n">
        <f aca="false">VALUES!$N$24</f>
        <v>0.16</v>
      </c>
      <c r="AA56" s="70" t="n">
        <f aca="false">VALUES!$O$24</f>
        <v>0.12</v>
      </c>
    </row>
    <row r="57" customFormat="false" ht="13.05" hidden="false" customHeight="true" outlineLevel="0" collapsed="false">
      <c r="A57" s="79" t="n">
        <v>3</v>
      </c>
      <c r="B57" s="124" t="s">
        <v>142</v>
      </c>
      <c r="C57" s="124"/>
      <c r="D57" s="79" t="n">
        <f aca="false">F38</f>
        <v>0</v>
      </c>
      <c r="E57" s="87" t="n">
        <v>0.7</v>
      </c>
      <c r="F57" s="102" t="n">
        <f aca="false">M57</f>
        <v>0.27</v>
      </c>
      <c r="G57" s="79" t="n">
        <f aca="false">VALUES!$D$10</f>
        <v>644</v>
      </c>
      <c r="H57" s="103" t="n">
        <f aca="false">D57*G57*E57*F57</f>
        <v>0</v>
      </c>
      <c r="I57" s="102" t="n">
        <f aca="false">N57</f>
        <v>0.27</v>
      </c>
      <c r="J57" s="79" t="n">
        <f aca="false">VALUES!$F$10</f>
        <v>675</v>
      </c>
      <c r="K57" s="103" t="n">
        <f aca="false">D57*E57*I57*J57</f>
        <v>0</v>
      </c>
      <c r="L57" s="105"/>
      <c r="M57" s="109" t="n">
        <f aca="false">INDEX(O57:AA57,1,MATCH(MAX($O$64:$AA$64),$O$64:$AA$64,0))</f>
        <v>0.27</v>
      </c>
      <c r="N57" s="109" t="n">
        <f aca="false">INDEX(O57:AA57,1,MATCH(MAX($O$65:$AA$65),$O$65:$AA$65,0))</f>
        <v>0.27</v>
      </c>
      <c r="O57" s="70" t="n">
        <f aca="false">VALUES!$C$25</f>
        <v>0.47</v>
      </c>
      <c r="P57" s="70" t="n">
        <f aca="false">VALUES!$D$25</f>
        <v>0.72</v>
      </c>
      <c r="Q57" s="70" t="n">
        <f aca="false">VALUES!$E$25</f>
        <v>0.8</v>
      </c>
      <c r="R57" s="70" t="n">
        <f aca="false">VALUES!$F$25</f>
        <v>0.76</v>
      </c>
      <c r="S57" s="70" t="n">
        <f aca="false">VALUES!$G$25</f>
        <v>0.62</v>
      </c>
      <c r="T57" s="70" t="n">
        <f aca="false">VALUES!$H$25</f>
        <v>0.41</v>
      </c>
      <c r="U57" s="70" t="n">
        <f aca="false">VALUES!$I$25</f>
        <v>0.27</v>
      </c>
      <c r="V57" s="70" t="n">
        <f aca="false">VALUES!$J$25</f>
        <v>0.26</v>
      </c>
      <c r="W57" s="70" t="n">
        <f aca="false">VALUES!$K$25</f>
        <v>0.24</v>
      </c>
      <c r="X57" s="70" t="n">
        <f aca="false">VALUES!$L$25</f>
        <v>0.22</v>
      </c>
      <c r="Y57" s="70" t="n">
        <f aca="false">VALUES!$M$25</f>
        <v>0.2</v>
      </c>
      <c r="Z57" s="70" t="n">
        <f aca="false">VALUES!$N$25</f>
        <v>0.16</v>
      </c>
      <c r="AA57" s="70" t="n">
        <f aca="false">VALUES!$O$25</f>
        <v>0.12</v>
      </c>
    </row>
    <row r="58" customFormat="false" ht="13.05" hidden="false" customHeight="true" outlineLevel="0" collapsed="false">
      <c r="A58" s="79" t="n">
        <v>4</v>
      </c>
      <c r="B58" s="124" t="s">
        <v>143</v>
      </c>
      <c r="C58" s="124"/>
      <c r="D58" s="79" t="n">
        <f aca="false">F39</f>
        <v>0</v>
      </c>
      <c r="E58" s="87" t="n">
        <v>0.7</v>
      </c>
      <c r="F58" s="102" t="n">
        <f aca="false">M58</f>
        <v>0.49</v>
      </c>
      <c r="G58" s="79" t="n">
        <f aca="false">VALUES!$D$11</f>
        <v>284</v>
      </c>
      <c r="H58" s="103" t="n">
        <f aca="false">D58*G58*E58*F58</f>
        <v>0</v>
      </c>
      <c r="I58" s="102" t="n">
        <f aca="false">N58</f>
        <v>0.49</v>
      </c>
      <c r="J58" s="79" t="n">
        <f aca="false">VALUES!$F$11</f>
        <v>767</v>
      </c>
      <c r="K58" s="103" t="n">
        <f aca="false">D58*E58*I58*J58</f>
        <v>0</v>
      </c>
      <c r="L58" s="105"/>
      <c r="M58" s="109" t="n">
        <f aca="false">INDEX(O58:AA58,1,MATCH(MAX($O$64:$AA$64),$O$64:$AA$64,0))</f>
        <v>0.49</v>
      </c>
      <c r="N58" s="109" t="n">
        <f aca="false">INDEX(O58:AA58,1,MATCH(MAX($O$65:$AA$65),$O$65:$AA$65,0))</f>
        <v>0.49</v>
      </c>
      <c r="O58" s="70" t="n">
        <f aca="false">VALUES!$C$26</f>
        <v>0.3</v>
      </c>
      <c r="P58" s="70" t="n">
        <f aca="false">VALUES!$D$26</f>
        <v>0.57</v>
      </c>
      <c r="Q58" s="70" t="n">
        <f aca="false">VALUES!$E$26</f>
        <v>0.74</v>
      </c>
      <c r="R58" s="70" t="n">
        <f aca="false">VALUES!$F$26</f>
        <v>0.81</v>
      </c>
      <c r="S58" s="70" t="n">
        <f aca="false">VALUES!$G$26</f>
        <v>0.79</v>
      </c>
      <c r="T58" s="70" t="n">
        <f aca="false">VALUES!$H$26</f>
        <v>0.68</v>
      </c>
      <c r="U58" s="70" t="n">
        <f aca="false">VALUES!$I$26</f>
        <v>0.49</v>
      </c>
      <c r="V58" s="70" t="n">
        <f aca="false">VALUES!$J$26</f>
        <v>0.33</v>
      </c>
      <c r="W58" s="70" t="n">
        <f aca="false">VALUES!$K$26</f>
        <v>0.28</v>
      </c>
      <c r="X58" s="70" t="n">
        <f aca="false">VALUES!$L$26</f>
        <v>0.25</v>
      </c>
      <c r="Y58" s="70" t="n">
        <f aca="false">VALUES!$M$26</f>
        <v>0.22</v>
      </c>
      <c r="Z58" s="70" t="n">
        <f aca="false">VALUES!$N$26</f>
        <v>0.18</v>
      </c>
      <c r="AA58" s="70" t="n">
        <f aca="false">VALUES!$O$26</f>
        <v>0.13</v>
      </c>
    </row>
    <row r="59" customFormat="false" ht="13.05" hidden="false" customHeight="true" outlineLevel="0" collapsed="false">
      <c r="A59" s="79" t="n">
        <v>5</v>
      </c>
      <c r="B59" s="124" t="s">
        <v>144</v>
      </c>
      <c r="C59" s="124"/>
      <c r="D59" s="79" t="n">
        <f aca="false">F40</f>
        <v>11.04</v>
      </c>
      <c r="E59" s="87" t="n">
        <v>0.7</v>
      </c>
      <c r="F59" s="102" t="n">
        <f aca="false">M59</f>
        <v>0.83</v>
      </c>
      <c r="G59" s="79" t="n">
        <f aca="false">VALUES!$D$12</f>
        <v>126</v>
      </c>
      <c r="H59" s="103" t="n">
        <f aca="false">D59*G59*E59*F59</f>
        <v>808.19424</v>
      </c>
      <c r="I59" s="102" t="n">
        <f aca="false">N59</f>
        <v>0.83</v>
      </c>
      <c r="J59" s="79" t="n">
        <f aca="false">VALUES!$F$12</f>
        <v>565</v>
      </c>
      <c r="K59" s="103" t="n">
        <f aca="false">D59*E59*I59*J59</f>
        <v>3624.0456</v>
      </c>
      <c r="L59" s="105"/>
      <c r="M59" s="109" t="n">
        <f aca="false">INDEX(O59:AA59,1,MATCH(MAX($O$64:$AA$64),$O$64:$AA$64,0))</f>
        <v>0.83</v>
      </c>
      <c r="N59" s="109" t="n">
        <f aca="false">INDEX(O59:AA59,1,MATCH(MAX($O$65:$AA$65),$O$65:$AA$65,0))</f>
        <v>0.83</v>
      </c>
      <c r="O59" s="70" t="n">
        <f aca="false">VALUES!$C$27</f>
        <v>0.09</v>
      </c>
      <c r="P59" s="70" t="n">
        <f aca="false">VALUES!$D$27</f>
        <v>0.16</v>
      </c>
      <c r="Q59" s="70" t="n">
        <f aca="false">VALUES!$E$27</f>
        <v>0.23</v>
      </c>
      <c r="R59" s="70" t="n">
        <f aca="false">VALUES!$F$27</f>
        <v>0.38</v>
      </c>
      <c r="S59" s="70" t="n">
        <f aca="false">VALUES!$G$27</f>
        <v>0.58</v>
      </c>
      <c r="T59" s="70" t="n">
        <f aca="false">VALUES!$H$27</f>
        <v>0.75</v>
      </c>
      <c r="U59" s="70" t="n">
        <f aca="false">VALUES!$I$27</f>
        <v>0.83</v>
      </c>
      <c r="V59" s="70" t="n">
        <f aca="false">VALUES!$J$27</f>
        <v>0.8</v>
      </c>
      <c r="W59" s="70" t="n">
        <f aca="false">VALUES!$K$27</f>
        <v>0.68</v>
      </c>
      <c r="X59" s="70" t="n">
        <f aca="false">VALUES!$L$27</f>
        <v>0.5</v>
      </c>
      <c r="Y59" s="70" t="n">
        <f aca="false">VALUES!$M$27</f>
        <v>0.35</v>
      </c>
      <c r="Z59" s="70" t="n">
        <f aca="false">VALUES!$N$27</f>
        <v>0.27</v>
      </c>
      <c r="AA59" s="70" t="n">
        <f aca="false">VALUES!$O$27</f>
        <v>0.19</v>
      </c>
    </row>
    <row r="60" customFormat="false" ht="13.05" hidden="false" customHeight="true" outlineLevel="0" collapsed="false">
      <c r="A60" s="79" t="n">
        <v>6</v>
      </c>
      <c r="B60" s="124" t="s">
        <v>145</v>
      </c>
      <c r="C60" s="124"/>
      <c r="D60" s="79" t="n">
        <f aca="false">F41</f>
        <v>0</v>
      </c>
      <c r="E60" s="87" t="n">
        <v>0.7</v>
      </c>
      <c r="F60" s="102" t="n">
        <f aca="false">M60</f>
        <v>0.38</v>
      </c>
      <c r="G60" s="79" t="n">
        <f aca="false">VALUES!$D$13</f>
        <v>284</v>
      </c>
      <c r="H60" s="103" t="n">
        <f aca="false">D60*G60*E60*F60</f>
        <v>0</v>
      </c>
      <c r="I60" s="102" t="n">
        <f aca="false">N60</f>
        <v>0.38</v>
      </c>
      <c r="J60" s="79" t="n">
        <f aca="false">VALUES!$F$13</f>
        <v>767</v>
      </c>
      <c r="K60" s="103" t="n">
        <f aca="false">D60*E60*I60*J60</f>
        <v>0</v>
      </c>
      <c r="L60" s="105"/>
      <c r="M60" s="109" t="n">
        <f aca="false">INDEX(O60:AA60,1,MATCH(MAX($O$64:$AA$64),$O$64:$AA$64,0))</f>
        <v>0.38</v>
      </c>
      <c r="N60" s="109" t="n">
        <f aca="false">INDEX(O60:AA60,1,MATCH(MAX($O$65:$AA$65),$O$65:$AA$65,0))</f>
        <v>0.38</v>
      </c>
      <c r="O60" s="70" t="n">
        <f aca="false">VALUES!$C$28</f>
        <v>0.07</v>
      </c>
      <c r="P60" s="70" t="n">
        <f aca="false">VALUES!$D$28</f>
        <v>0.11</v>
      </c>
      <c r="Q60" s="70" t="n">
        <f aca="false">VALUES!$E$28</f>
        <v>0.14</v>
      </c>
      <c r="R60" s="70" t="n">
        <f aca="false">VALUES!$F$28</f>
        <v>0.16</v>
      </c>
      <c r="S60" s="70" t="n">
        <f aca="false">VALUES!$G$28</f>
        <v>0.19</v>
      </c>
      <c r="T60" s="70" t="n">
        <f aca="false">VALUES!$H$28</f>
        <v>0.22</v>
      </c>
      <c r="U60" s="70" t="n">
        <f aca="false">VALUES!$I$28</f>
        <v>0.38</v>
      </c>
      <c r="V60" s="70" t="n">
        <f aca="false">VALUES!$J$28</f>
        <v>0.59</v>
      </c>
      <c r="W60" s="70" t="n">
        <f aca="false">VALUES!$K$28</f>
        <v>0.75</v>
      </c>
      <c r="X60" s="70" t="n">
        <f aca="false">VALUES!$L$28</f>
        <v>0.83</v>
      </c>
      <c r="Y60" s="70" t="n">
        <f aca="false">VALUES!$M$28</f>
        <v>0.81</v>
      </c>
      <c r="Z60" s="70" t="n">
        <f aca="false">VALUES!$N$28</f>
        <v>0.69</v>
      </c>
      <c r="AA60" s="70" t="n">
        <f aca="false">VALUES!$O$28</f>
        <v>0.45</v>
      </c>
    </row>
    <row r="61" customFormat="false" ht="13.05" hidden="false" customHeight="true" outlineLevel="0" collapsed="false">
      <c r="A61" s="79" t="n">
        <v>7</v>
      </c>
      <c r="B61" s="124" t="s">
        <v>146</v>
      </c>
      <c r="C61" s="124"/>
      <c r="D61" s="79" t="n">
        <f aca="false">F42</f>
        <v>0</v>
      </c>
      <c r="E61" s="87" t="n">
        <v>0.7</v>
      </c>
      <c r="F61" s="102" t="n">
        <f aca="false">M61</f>
        <v>0.17</v>
      </c>
      <c r="G61" s="79" t="n">
        <f aca="false">VALUES!$D$14</f>
        <v>644</v>
      </c>
      <c r="H61" s="103" t="n">
        <f aca="false">D61*G61*E61*F61</f>
        <v>0</v>
      </c>
      <c r="I61" s="102" t="n">
        <f aca="false">N61</f>
        <v>0.17</v>
      </c>
      <c r="J61" s="79" t="n">
        <f aca="false">VALUES!$F$14</f>
        <v>675</v>
      </c>
      <c r="K61" s="103" t="n">
        <f aca="false">D61*E61*I61*J61</f>
        <v>0</v>
      </c>
      <c r="L61" s="105"/>
      <c r="M61" s="109" t="n">
        <f aca="false">INDEX(O61:AA61,1,MATCH(MAX($O$64:$AA$64),$O$64:$AA$64,0))</f>
        <v>0.17</v>
      </c>
      <c r="N61" s="109" t="n">
        <f aca="false">INDEX(O61:AA61,1,MATCH(MAX($O$65:$AA$65),$O$65:$AA$65,0))</f>
        <v>0.17</v>
      </c>
      <c r="O61" s="70" t="n">
        <f aca="false">VALUES!$C$29</f>
        <v>0.06</v>
      </c>
      <c r="P61" s="70" t="n">
        <f aca="false">VALUES!$D$29</f>
        <v>0.09</v>
      </c>
      <c r="Q61" s="70" t="n">
        <f aca="false">VALUES!$E$29</f>
        <v>0.11</v>
      </c>
      <c r="R61" s="70" t="n">
        <f aca="false">VALUES!$F$29</f>
        <v>0.13</v>
      </c>
      <c r="S61" s="70" t="n">
        <f aca="false">VALUES!$G$29</f>
        <v>0.15</v>
      </c>
      <c r="T61" s="70" t="n">
        <f aca="false">VALUES!$H$29</f>
        <v>0.16</v>
      </c>
      <c r="U61" s="70" t="n">
        <f aca="false">VALUES!$I$29</f>
        <v>0.17</v>
      </c>
      <c r="V61" s="70" t="n">
        <f aca="false">VALUES!$J$29</f>
        <v>0.31</v>
      </c>
      <c r="W61" s="70" t="n">
        <f aca="false">VALUES!$K$29</f>
        <v>0.53</v>
      </c>
      <c r="X61" s="70" t="n">
        <f aca="false">VALUES!$L$29</f>
        <v>0.72</v>
      </c>
      <c r="Y61" s="70" t="n">
        <f aca="false">VALUES!$M$29</f>
        <v>0.82</v>
      </c>
      <c r="Z61" s="70" t="n">
        <f aca="false">VALUES!$N$29</f>
        <v>0.81</v>
      </c>
      <c r="AA61" s="70" t="n">
        <f aca="false">VALUES!$O$29</f>
        <v>0.61</v>
      </c>
    </row>
    <row r="62" customFormat="false" ht="13.05" hidden="false" customHeight="true" outlineLevel="0" collapsed="false">
      <c r="A62" s="79" t="n">
        <v>8</v>
      </c>
      <c r="B62" s="124" t="s">
        <v>147</v>
      </c>
      <c r="C62" s="124"/>
      <c r="D62" s="79" t="n">
        <f aca="false">F43</f>
        <v>0</v>
      </c>
      <c r="E62" s="87" t="n">
        <v>0.7</v>
      </c>
      <c r="F62" s="102" t="n">
        <f aca="false">M62</f>
        <v>0.21</v>
      </c>
      <c r="G62" s="79" t="n">
        <f aca="false">VALUES!$D$15</f>
        <v>625</v>
      </c>
      <c r="H62" s="103" t="n">
        <f aca="false">D62*G62*E62*F62</f>
        <v>0</v>
      </c>
      <c r="I62" s="102" t="n">
        <f aca="false">N62</f>
        <v>0.21</v>
      </c>
      <c r="J62" s="79" t="n">
        <f aca="false">VALUES!$F$15</f>
        <v>199</v>
      </c>
      <c r="K62" s="103" t="n">
        <f aca="false">D62*E62*I62*J62</f>
        <v>0</v>
      </c>
      <c r="L62" s="105"/>
      <c r="M62" s="109" t="n">
        <f aca="false">INDEX(O62:AA62,1,MATCH(MAX($O$64:$AA$64),$O$64:$AA$64,0))</f>
        <v>0.21</v>
      </c>
      <c r="N62" s="109" t="n">
        <f aca="false">INDEX(O62:AA62,1,MATCH(MAX($O$65:$AA$65),$O$65:$AA$65,0))</f>
        <v>0.21</v>
      </c>
      <c r="O62" s="70" t="n">
        <f aca="false">VALUES!$C$30</f>
        <v>0.07</v>
      </c>
      <c r="P62" s="70" t="n">
        <f aca="false">VALUES!$D$30</f>
        <v>0.11</v>
      </c>
      <c r="Q62" s="70" t="n">
        <f aca="false">VALUES!$E$30</f>
        <v>0.14</v>
      </c>
      <c r="R62" s="70" t="n">
        <f aca="false">VALUES!$F$30</f>
        <v>0.17</v>
      </c>
      <c r="S62" s="70" t="n">
        <f aca="false">VALUES!$G$30</f>
        <v>0.19</v>
      </c>
      <c r="T62" s="70" t="n">
        <f aca="false">VALUES!$H$30</f>
        <v>0.2</v>
      </c>
      <c r="U62" s="70" t="n">
        <f aca="false">VALUES!$I$30</f>
        <v>0.21</v>
      </c>
      <c r="V62" s="70" t="n">
        <f aca="false">VALUES!$J$30</f>
        <v>0.22</v>
      </c>
      <c r="W62" s="70" t="n">
        <f aca="false">VALUES!$K$30</f>
        <v>0.3</v>
      </c>
      <c r="X62" s="70" t="n">
        <f aca="false">VALUES!$L$30</f>
        <v>0.52</v>
      </c>
      <c r="Y62" s="70" t="n">
        <f aca="false">VALUES!$M$30</f>
        <v>0.73</v>
      </c>
      <c r="Z62" s="70" t="n">
        <f aca="false">VALUES!$N$30</f>
        <v>0.82</v>
      </c>
      <c r="AA62" s="70" t="n">
        <f aca="false">VALUES!$O$30</f>
        <v>0.69</v>
      </c>
    </row>
    <row r="63" customFormat="false" ht="13.05" hidden="false" customHeight="true" outlineLevel="0" collapsed="false">
      <c r="A63" s="79" t="n">
        <v>9</v>
      </c>
      <c r="B63" s="124" t="s">
        <v>164</v>
      </c>
      <c r="C63" s="124"/>
      <c r="D63" s="79" t="n">
        <f aca="false">F49</f>
        <v>0</v>
      </c>
      <c r="E63" s="87" t="n">
        <v>0.6</v>
      </c>
      <c r="F63" s="102" t="n">
        <f aca="false">M63</f>
        <v>0.85</v>
      </c>
      <c r="G63" s="79" t="n">
        <f aca="false">VALUES!$D$16</f>
        <v>864</v>
      </c>
      <c r="H63" s="103" t="n">
        <f aca="false">D63*G63*E63*F63</f>
        <v>0</v>
      </c>
      <c r="I63" s="102" t="n">
        <f aca="false">N63</f>
        <v>0.85</v>
      </c>
      <c r="J63" s="79" t="n">
        <f aca="false">VALUES!$F$16</f>
        <v>820</v>
      </c>
      <c r="K63" s="103" t="n">
        <f aca="false">D63*E63*I63*J63</f>
        <v>0</v>
      </c>
      <c r="L63" s="105"/>
      <c r="M63" s="109" t="n">
        <f aca="false">INDEX(O63:AA63,1,MATCH(MAX($O$64:$AA$64),$O$64:$AA$64,0))</f>
        <v>0.85</v>
      </c>
      <c r="N63" s="109" t="n">
        <f aca="false">INDEX(O63:AA63,1,MATCH(MAX($O$65:$AA$65),$O$65:$AA$65,0))</f>
        <v>0.85</v>
      </c>
      <c r="O63" s="70" t="n">
        <f aca="false">VALUES!$C$31</f>
        <v>0.12</v>
      </c>
      <c r="P63" s="70" t="n">
        <f aca="false">VALUES!$D$31</f>
        <v>0.27</v>
      </c>
      <c r="Q63" s="70" t="n">
        <f aca="false">VALUES!$E$31</f>
        <v>0.44</v>
      </c>
      <c r="R63" s="70" t="n">
        <f aca="false">VALUES!$F$31</f>
        <v>0.59</v>
      </c>
      <c r="S63" s="70" t="n">
        <f aca="false">VALUES!$G$31</f>
        <v>0.72</v>
      </c>
      <c r="T63" s="70" t="n">
        <f aca="false">VALUES!$H$31</f>
        <v>0.81</v>
      </c>
      <c r="U63" s="70" t="n">
        <f aca="false">VALUES!$I$31</f>
        <v>0.85</v>
      </c>
      <c r="V63" s="70" t="n">
        <f aca="false">VALUES!$J$31</f>
        <v>0.85</v>
      </c>
      <c r="W63" s="70" t="n">
        <f aca="false">VALUES!$K$31</f>
        <v>0.81</v>
      </c>
      <c r="X63" s="70" t="n">
        <f aca="false">VALUES!$L$31</f>
        <v>0.71</v>
      </c>
      <c r="Y63" s="70" t="n">
        <f aca="false">VALUES!$M$31</f>
        <v>0.58</v>
      </c>
      <c r="Z63" s="70" t="n">
        <f aca="false">VALUES!$N$31</f>
        <v>0.42</v>
      </c>
      <c r="AA63" s="70" t="n">
        <f aca="false">VALUES!$O$31</f>
        <v>0.25</v>
      </c>
    </row>
    <row r="64" customFormat="false" ht="13.05" hidden="false" customHeight="true" outlineLevel="0" collapsed="false">
      <c r="A64" s="79" t="n">
        <v>10</v>
      </c>
      <c r="B64" s="124" t="s">
        <v>154</v>
      </c>
      <c r="C64" s="124"/>
      <c r="D64" s="87"/>
      <c r="E64" s="87"/>
      <c r="F64" s="87"/>
      <c r="G64" s="87"/>
      <c r="H64" s="103" t="n">
        <f aca="false">D64*G64*E64*F64</f>
        <v>0</v>
      </c>
      <c r="I64" s="87"/>
      <c r="J64" s="87"/>
      <c r="K64" s="103" t="n">
        <f aca="false">D64*E64*I64*J64</f>
        <v>0</v>
      </c>
      <c r="L64" s="105"/>
      <c r="M64" s="123" t="n">
        <f aca="false">INDEX(O64:AA64,1,MATCH(MAX($O$64:$AA$64),$O$64:$AA$64,0))</f>
        <v>808.19424</v>
      </c>
      <c r="N64" s="121"/>
      <c r="O64" s="126" t="n">
        <f aca="false">SUMPRODUCT(O55:O63, $E$55:$E$63, $D$55:$D$63, $G$55:$G$63)</f>
        <v>87.63552</v>
      </c>
      <c r="P64" s="126" t="n">
        <f aca="false">SUMPRODUCT(P55:P63, $E$55:$E$63, $D$55:$D$63, $G$55:$G$63)</f>
        <v>155.79648</v>
      </c>
      <c r="Q64" s="126" t="n">
        <f aca="false">SUMPRODUCT(Q55:Q63, $E$55:$E$63, $D$55:$D$63, $G$55:$G$63)</f>
        <v>223.95744</v>
      </c>
      <c r="R64" s="126" t="n">
        <f aca="false">SUMPRODUCT(R55:R63, $E$55:$E$63, $D$55:$D$63, $G$55:$G$63)</f>
        <v>370.01664</v>
      </c>
      <c r="S64" s="126" t="n">
        <f aca="false">SUMPRODUCT(S55:S63, $E$55:$E$63, $D$55:$D$63, $G$55:$G$63)</f>
        <v>564.76224</v>
      </c>
      <c r="T64" s="126" t="n">
        <f aca="false">SUMPRODUCT(T55:T63, $E$55:$E$63, $D$55:$D$63, $G$55:$G$63)</f>
        <v>730.296</v>
      </c>
      <c r="U64" s="126" t="n">
        <f aca="false">SUMPRODUCT(U55:U63, $E$55:$E$63, $D$55:$D$63, $G$55:$G$63)</f>
        <v>808.19424</v>
      </c>
      <c r="V64" s="126" t="n">
        <f aca="false">SUMPRODUCT(V55:V63, $E$55:$E$63, $D$55:$D$63, $G$55:$G$63)</f>
        <v>778.9824</v>
      </c>
      <c r="W64" s="126" t="n">
        <f aca="false">SUMPRODUCT(W55:W63, $E$55:$E$63, $D$55:$D$63, $G$55:$G$63)</f>
        <v>662.13504</v>
      </c>
      <c r="X64" s="126" t="n">
        <f aca="false">SUMPRODUCT(X55:X63, $E$55:$E$63, $D$55:$D$63, $G$55:$G$63)</f>
        <v>486.864</v>
      </c>
      <c r="Y64" s="126" t="n">
        <f aca="false">SUMPRODUCT(Y55:Y63, $E$55:$E$63, $D$55:$D$63, $G$55:$G$63)</f>
        <v>340.8048</v>
      </c>
      <c r="Z64" s="126" t="n">
        <f aca="false">SUMPRODUCT(Z55:Z63, $E$55:$E$63, $D$55:$D$63, $G$55:$G$63)</f>
        <v>262.90656</v>
      </c>
      <c r="AA64" s="126" t="n">
        <f aca="false">SUMPRODUCT(AA55:AA63, $E$55:$E$63, $D$55:$D$63, $G$55:$G$63)</f>
        <v>185.00832</v>
      </c>
    </row>
    <row r="65" s="117" customFormat="true" ht="24.25" hidden="false" customHeight="true" outlineLevel="0" collapsed="false">
      <c r="A65" s="112" t="s">
        <v>4</v>
      </c>
      <c r="B65" s="127" t="s">
        <v>165</v>
      </c>
      <c r="C65" s="127"/>
      <c r="D65" s="112"/>
      <c r="E65" s="128"/>
      <c r="F65" s="112"/>
      <c r="G65" s="112"/>
      <c r="H65" s="114" t="n">
        <f aca="false">SUM(H55:H64)</f>
        <v>808.19424</v>
      </c>
      <c r="I65" s="112"/>
      <c r="J65" s="112"/>
      <c r="K65" s="114" t="n">
        <f aca="false">SUM(K55:K64)</f>
        <v>3624.0456</v>
      </c>
      <c r="L65" s="105"/>
      <c r="M65" s="115"/>
      <c r="N65" s="123" t="n">
        <f aca="false">INDEX(O65:AA65,1,MATCH(MAX($O$65:$AA$65),$O$65:$AA$65,0))</f>
        <v>3624.0456</v>
      </c>
      <c r="O65" s="126" t="n">
        <f aca="false">SUMPRODUCT(O55:O63, $E$55:$E$63, $D$55:$D$63, $J$55:$J$63)</f>
        <v>392.9688</v>
      </c>
      <c r="P65" s="126" t="n">
        <f aca="false">SUMPRODUCT(P55:P63, $E$55:$E$63, $D$55:$D$63, $J$55:$J$63)</f>
        <v>698.6112</v>
      </c>
      <c r="Q65" s="126" t="n">
        <f aca="false">SUMPRODUCT(Q55:Q63, $E$55:$E$63, $D$55:$D$63, $J$55:$J$63)</f>
        <v>1004.2536</v>
      </c>
      <c r="R65" s="126" t="n">
        <f aca="false">SUMPRODUCT(R55:R63, $E$55:$E$63, $D$55:$D$63, $J$55:$J$63)</f>
        <v>1659.2016</v>
      </c>
      <c r="S65" s="126" t="n">
        <f aca="false">SUMPRODUCT(S55:S63, $E$55:$E$63, $D$55:$D$63, $J$55:$J$63)</f>
        <v>2532.4656</v>
      </c>
      <c r="T65" s="126" t="n">
        <f aca="false">SUMPRODUCT(T55:T63, $E$55:$E$63, $D$55:$D$63, $J$55:$J$63)</f>
        <v>3274.74</v>
      </c>
      <c r="U65" s="126" t="n">
        <f aca="false">SUMPRODUCT(U55:U63, $E$55:$E$63, $D$55:$D$63, $J$55:$J$63)</f>
        <v>3624.0456</v>
      </c>
      <c r="V65" s="126" t="n">
        <f aca="false">SUMPRODUCT(V55:V63, $E$55:$E$63, $D$55:$D$63, $J$55:$J$63)</f>
        <v>3493.056</v>
      </c>
      <c r="W65" s="126" t="n">
        <f aca="false">SUMPRODUCT(W55:W63, $E$55:$E$63, $D$55:$D$63, $J$55:$J$63)</f>
        <v>2969.0976</v>
      </c>
      <c r="X65" s="126" t="n">
        <f aca="false">SUMPRODUCT(X55:X63, $E$55:$E$63, $D$55:$D$63, $J$55:$J$63)</f>
        <v>2183.16</v>
      </c>
      <c r="Y65" s="126" t="n">
        <f aca="false">SUMPRODUCT(Y55:Y63, $E$55:$E$63, $D$55:$D$63, $J$55:$J$63)</f>
        <v>1528.212</v>
      </c>
      <c r="Z65" s="126" t="n">
        <f aca="false">SUMPRODUCT(Z55:Z63, $E$55:$E$63, $D$55:$D$63, $J$55:$J$63)</f>
        <v>1178.9064</v>
      </c>
      <c r="AA65" s="126" t="n">
        <f aca="false">SUMPRODUCT(AA55:AA63, $E$55:$E$63, $D$55:$D$63, $J$55:$J$63)</f>
        <v>829.6008</v>
      </c>
      <c r="AMJ65" s="71"/>
    </row>
    <row r="66" s="117" customFormat="true" ht="12.8" hidden="false" customHeight="false" outlineLevel="0" collapsed="false"/>
    <row r="67" customFormat="false" ht="13.05" hidden="false" customHeight="false" outlineLevel="0" collapsed="false">
      <c r="A67" s="101" t="s">
        <v>166</v>
      </c>
      <c r="B67" s="76"/>
      <c r="C67" s="76"/>
      <c r="D67" s="76"/>
      <c r="E67" s="76"/>
      <c r="F67" s="79" t="s">
        <v>167</v>
      </c>
      <c r="G67" s="79" t="s">
        <v>168</v>
      </c>
      <c r="H67" s="79" t="s">
        <v>169</v>
      </c>
      <c r="L67" s="72"/>
      <c r="M67" s="72"/>
      <c r="N67" s="72"/>
    </row>
    <row r="68" customFormat="false" ht="12.8" hidden="false" customHeight="false" outlineLevel="0" collapsed="false">
      <c r="A68" s="79" t="n">
        <v>1</v>
      </c>
      <c r="B68" s="79" t="s">
        <v>170</v>
      </c>
      <c r="C68" s="87" t="n">
        <v>8</v>
      </c>
      <c r="D68" s="79" t="s">
        <v>171</v>
      </c>
      <c r="E68" s="87" t="n">
        <v>60</v>
      </c>
      <c r="F68" s="87" t="n">
        <v>1</v>
      </c>
      <c r="G68" s="103" t="n">
        <f aca="false">C68*E68*F68</f>
        <v>480</v>
      </c>
      <c r="H68" s="129"/>
      <c r="L68" s="72"/>
      <c r="M68" s="72"/>
      <c r="N68" s="72"/>
    </row>
    <row r="69" customFormat="false" ht="12.8" hidden="false" customHeight="false" outlineLevel="0" collapsed="false">
      <c r="A69" s="79" t="n">
        <v>2</v>
      </c>
      <c r="B69" s="79" t="s">
        <v>170</v>
      </c>
      <c r="C69" s="87" t="n">
        <v>8</v>
      </c>
      <c r="D69" s="79" t="s">
        <v>171</v>
      </c>
      <c r="E69" s="87" t="n">
        <v>70</v>
      </c>
      <c r="F69" s="80"/>
      <c r="G69" s="129"/>
      <c r="H69" s="103" t="n">
        <f aca="false">C69*E69</f>
        <v>560</v>
      </c>
      <c r="L69" s="72"/>
      <c r="M69" s="72"/>
      <c r="N69" s="72"/>
    </row>
    <row r="70" customFormat="false" ht="13.05" hidden="false" customHeight="true" outlineLevel="0" collapsed="false">
      <c r="A70" s="112" t="s">
        <v>46</v>
      </c>
      <c r="B70" s="127" t="s">
        <v>172</v>
      </c>
      <c r="C70" s="127"/>
      <c r="D70" s="127"/>
      <c r="E70" s="127"/>
      <c r="F70" s="127"/>
      <c r="G70" s="114" t="n">
        <f aca="false">SUM(G68:G69)</f>
        <v>480</v>
      </c>
      <c r="H70" s="114" t="n">
        <f aca="false">SUM(H68:H69)</f>
        <v>560</v>
      </c>
      <c r="L70" s="72"/>
      <c r="M70" s="72"/>
      <c r="N70" s="72"/>
    </row>
    <row r="71" s="117" customFormat="true" ht="12.8" hidden="false" customHeight="false" outlineLevel="0" collapsed="false"/>
    <row r="72" customFormat="false" ht="35.4" hidden="false" customHeight="false" outlineLevel="0" collapsed="false">
      <c r="A72" s="101" t="s">
        <v>173</v>
      </c>
      <c r="B72" s="101"/>
      <c r="C72" s="101"/>
      <c r="D72" s="101"/>
      <c r="E72" s="101"/>
      <c r="F72" s="79" t="s">
        <v>174</v>
      </c>
      <c r="G72" s="79" t="s">
        <v>167</v>
      </c>
      <c r="H72" s="79" t="s">
        <v>168</v>
      </c>
      <c r="I72" s="79" t="s">
        <v>169</v>
      </c>
      <c r="L72" s="72"/>
      <c r="M72" s="72"/>
      <c r="N72" s="72"/>
    </row>
    <row r="73" customFormat="false" ht="12.8" hidden="false" customHeight="false" outlineLevel="0" collapsed="false">
      <c r="A73" s="79" t="n">
        <v>1</v>
      </c>
      <c r="B73" s="80" t="s">
        <v>175</v>
      </c>
      <c r="C73" s="87"/>
      <c r="D73" s="79" t="s">
        <v>171</v>
      </c>
      <c r="E73" s="87" t="n">
        <v>20</v>
      </c>
      <c r="F73" s="87" t="n">
        <v>1</v>
      </c>
      <c r="G73" s="87" t="n">
        <v>1</v>
      </c>
      <c r="H73" s="103" t="n">
        <f aca="false">C73*E73*F73*G73</f>
        <v>0</v>
      </c>
      <c r="I73" s="129"/>
      <c r="L73" s="72"/>
      <c r="M73" s="72"/>
      <c r="N73" s="72"/>
    </row>
    <row r="74" customFormat="false" ht="13.05" hidden="false" customHeight="false" outlineLevel="0" collapsed="false">
      <c r="A74" s="79" t="n">
        <v>2</v>
      </c>
      <c r="B74" s="82" t="s">
        <v>176</v>
      </c>
      <c r="C74" s="87"/>
      <c r="D74" s="79" t="s">
        <v>171</v>
      </c>
      <c r="E74" s="87" t="n">
        <v>100</v>
      </c>
      <c r="F74" s="87" t="n">
        <v>0.4</v>
      </c>
      <c r="G74" s="87" t="n">
        <v>1</v>
      </c>
      <c r="H74" s="103" t="n">
        <f aca="false">C74*E74*F74*G74</f>
        <v>0</v>
      </c>
      <c r="I74" s="129"/>
      <c r="L74" s="72"/>
      <c r="M74" s="72"/>
      <c r="N74" s="72"/>
    </row>
    <row r="75" customFormat="false" ht="13.05" hidden="false" customHeight="false" outlineLevel="0" collapsed="false">
      <c r="A75" s="79" t="n">
        <v>3</v>
      </c>
      <c r="B75" s="82" t="s">
        <v>177</v>
      </c>
      <c r="C75" s="87"/>
      <c r="D75" s="79" t="s">
        <v>171</v>
      </c>
      <c r="E75" s="87" t="n">
        <v>1000</v>
      </c>
      <c r="F75" s="87" t="n">
        <v>0.4</v>
      </c>
      <c r="G75" s="87" t="n">
        <v>1</v>
      </c>
      <c r="H75" s="103" t="n">
        <f aca="false">C75*E75*F75*G75</f>
        <v>0</v>
      </c>
      <c r="I75" s="129"/>
      <c r="L75" s="72"/>
      <c r="M75" s="72"/>
      <c r="N75" s="72"/>
    </row>
    <row r="76" customFormat="false" ht="23.85" hidden="false" customHeight="false" outlineLevel="0" collapsed="false">
      <c r="A76" s="79" t="n">
        <v>4</v>
      </c>
      <c r="B76" s="82" t="s">
        <v>178</v>
      </c>
      <c r="C76" s="87"/>
      <c r="D76" s="87"/>
      <c r="E76" s="87"/>
      <c r="F76" s="87" t="n">
        <v>1</v>
      </c>
      <c r="G76" s="87" t="n">
        <v>1</v>
      </c>
      <c r="H76" s="103" t="n">
        <f aca="false">SUM(C76+D76+E76)*F76*G76</f>
        <v>0</v>
      </c>
      <c r="I76" s="129"/>
      <c r="L76" s="72"/>
      <c r="M76" s="72"/>
      <c r="N76" s="72"/>
    </row>
    <row r="77" customFormat="false" ht="23.85" hidden="false" customHeight="false" outlineLevel="0" collapsed="false">
      <c r="A77" s="79" t="n">
        <v>5</v>
      </c>
      <c r="B77" s="82" t="s">
        <v>179</v>
      </c>
      <c r="C77" s="87" t="n">
        <v>5</v>
      </c>
      <c r="D77" s="79" t="s">
        <v>171</v>
      </c>
      <c r="E77" s="87" t="n">
        <f aca="false">B85</f>
        <v>55.2</v>
      </c>
      <c r="F77" s="87" t="n">
        <v>1</v>
      </c>
      <c r="G77" s="87" t="n">
        <v>1</v>
      </c>
      <c r="H77" s="103" t="n">
        <f aca="false">C77*E77*F77*G77</f>
        <v>276</v>
      </c>
      <c r="I77" s="129"/>
      <c r="L77" s="72"/>
      <c r="M77" s="72"/>
      <c r="N77" s="72"/>
    </row>
    <row r="78" customFormat="false" ht="23.85" hidden="false" customHeight="false" outlineLevel="0" collapsed="false">
      <c r="A78" s="79" t="n">
        <v>6</v>
      </c>
      <c r="B78" s="82" t="s">
        <v>180</v>
      </c>
      <c r="C78" s="87" t="n">
        <v>30</v>
      </c>
      <c r="D78" s="79" t="s">
        <v>171</v>
      </c>
      <c r="E78" s="87" t="n">
        <f aca="false">B85</f>
        <v>55.2</v>
      </c>
      <c r="F78" s="87" t="n">
        <v>1</v>
      </c>
      <c r="G78" s="87" t="n">
        <v>1</v>
      </c>
      <c r="H78" s="103" t="n">
        <f aca="false">C78*E78*F78*G78</f>
        <v>1656</v>
      </c>
      <c r="I78" s="129"/>
      <c r="L78" s="72"/>
      <c r="M78" s="72"/>
      <c r="N78" s="72"/>
    </row>
    <row r="79" customFormat="false" ht="13.05" hidden="false" customHeight="false" outlineLevel="0" collapsed="false">
      <c r="A79" s="79" t="n">
        <v>7</v>
      </c>
      <c r="B79" s="80" t="s">
        <v>181</v>
      </c>
      <c r="C79" s="87"/>
      <c r="D79" s="87"/>
      <c r="E79" s="87"/>
      <c r="F79" s="87" t="n">
        <v>1</v>
      </c>
      <c r="G79" s="87" t="n">
        <v>1</v>
      </c>
      <c r="H79" s="103" t="n">
        <f aca="false">SUM(C79+D79+E79)*F79*G79</f>
        <v>0</v>
      </c>
      <c r="I79" s="129"/>
      <c r="J79" s="105"/>
      <c r="K79" s="105"/>
      <c r="L79" s="89"/>
      <c r="M79" s="89"/>
      <c r="N79" s="72"/>
    </row>
    <row r="80" customFormat="false" ht="13.05" hidden="false" customHeight="false" outlineLevel="0" collapsed="false">
      <c r="A80" s="79" t="n">
        <v>8</v>
      </c>
      <c r="B80" s="80" t="s">
        <v>182</v>
      </c>
      <c r="C80" s="87"/>
      <c r="D80" s="87"/>
      <c r="E80" s="87"/>
      <c r="F80" s="87" t="n">
        <v>1</v>
      </c>
      <c r="G80" s="80"/>
      <c r="H80" s="129"/>
      <c r="I80" s="103" t="n">
        <f aca="false">SUM(C80+D80+E80)*F80</f>
        <v>0</v>
      </c>
      <c r="J80" s="105"/>
      <c r="K80" s="105"/>
      <c r="L80" s="89"/>
      <c r="M80" s="89"/>
      <c r="N80" s="72"/>
    </row>
    <row r="81" customFormat="false" ht="13.05" hidden="false" customHeight="true" outlineLevel="0" collapsed="false">
      <c r="A81" s="112" t="s">
        <v>183</v>
      </c>
      <c r="B81" s="127" t="s">
        <v>184</v>
      </c>
      <c r="C81" s="127"/>
      <c r="D81" s="127"/>
      <c r="E81" s="127"/>
      <c r="F81" s="127"/>
      <c r="G81" s="127"/>
      <c r="H81" s="114" t="n">
        <f aca="false">SUM(H73:H80)</f>
        <v>1932</v>
      </c>
      <c r="I81" s="114" t="n">
        <f aca="false">SUM(I73:I80)</f>
        <v>0</v>
      </c>
      <c r="L81" s="72"/>
      <c r="M81" s="72"/>
      <c r="N81" s="72"/>
    </row>
    <row r="82" s="117" customFormat="true" ht="12.8" hidden="false" customHeight="false" outlineLevel="0" collapsed="false"/>
    <row r="83" customFormat="false" ht="13.05" hidden="false" customHeight="true" outlineLevel="0" collapsed="false">
      <c r="A83" s="101" t="s">
        <v>185</v>
      </c>
      <c r="B83" s="88"/>
      <c r="C83" s="105"/>
      <c r="D83" s="105"/>
      <c r="E83" s="105"/>
      <c r="F83" s="88"/>
      <c r="G83" s="88"/>
      <c r="H83" s="118" t="s">
        <v>97</v>
      </c>
      <c r="I83" s="118"/>
      <c r="J83" s="118" t="s">
        <v>107</v>
      </c>
      <c r="K83" s="118"/>
      <c r="L83" s="72"/>
      <c r="M83" s="72"/>
      <c r="N83" s="72"/>
    </row>
    <row r="84" customFormat="false" ht="13.05" hidden="false" customHeight="false" outlineLevel="0" collapsed="false">
      <c r="A84" s="89"/>
      <c r="B84" s="79" t="s">
        <v>186</v>
      </c>
      <c r="C84" s="79" t="s">
        <v>187</v>
      </c>
      <c r="D84" s="79" t="s">
        <v>188</v>
      </c>
      <c r="E84" s="119"/>
      <c r="F84" s="130" t="s">
        <v>7</v>
      </c>
      <c r="G84" s="130" t="s">
        <v>7</v>
      </c>
      <c r="H84" s="79" t="s">
        <v>168</v>
      </c>
      <c r="I84" s="79" t="s">
        <v>169</v>
      </c>
      <c r="J84" s="79" t="s">
        <v>168</v>
      </c>
      <c r="K84" s="79" t="s">
        <v>169</v>
      </c>
      <c r="L84" s="72"/>
      <c r="M84" s="72"/>
      <c r="N84" s="72"/>
    </row>
    <row r="85" customFormat="false" ht="12.8" hidden="false" customHeight="false" outlineLevel="0" collapsed="false">
      <c r="A85" s="79" t="n">
        <v>1</v>
      </c>
      <c r="B85" s="87" t="n">
        <f aca="false">6.9*8</f>
        <v>55.2</v>
      </c>
      <c r="C85" s="87" t="n">
        <v>4.6</v>
      </c>
      <c r="D85" s="87" t="n">
        <v>0.5</v>
      </c>
      <c r="E85" s="119" t="s">
        <v>189</v>
      </c>
      <c r="F85" s="87"/>
      <c r="G85" s="131" t="n">
        <f aca="false">F85 + D85*B85*C85</f>
        <v>126.96</v>
      </c>
      <c r="H85" s="103" t="n">
        <f aca="false">1230*(G85/3600)*($D$9-$E$9)</f>
        <v>659.3456</v>
      </c>
      <c r="I85" s="103" t="n">
        <f aca="false">3010000*G85/3600*($D$11-$E$11)</f>
        <v>773.756499618945</v>
      </c>
      <c r="J85" s="103" t="n">
        <f aca="false">1230*(G85/3600)*($D$15-$E$15)</f>
        <v>446.7934</v>
      </c>
      <c r="K85" s="103" t="n">
        <f aca="false">3010000*G85/3600*($D$17-$E$17)</f>
        <v>1306.36279247382</v>
      </c>
      <c r="L85" s="72"/>
    </row>
    <row r="86" customFormat="false" ht="13.05" hidden="false" customHeight="true" outlineLevel="0" collapsed="false">
      <c r="A86" s="112" t="s">
        <v>190</v>
      </c>
      <c r="B86" s="127" t="s">
        <v>191</v>
      </c>
      <c r="C86" s="127"/>
      <c r="D86" s="127"/>
      <c r="E86" s="127"/>
      <c r="F86" s="127"/>
      <c r="G86" s="127"/>
      <c r="H86" s="114" t="n">
        <f aca="false">SUM(H85:H85)</f>
        <v>659.3456</v>
      </c>
      <c r="I86" s="114" t="n">
        <f aca="false">SUM(I85:I85)</f>
        <v>773.756499618945</v>
      </c>
      <c r="J86" s="114" t="n">
        <f aca="false">SUM(J85:J85)</f>
        <v>446.7934</v>
      </c>
      <c r="K86" s="114" t="n">
        <f aca="false">SUM(K85:K85)</f>
        <v>1306.36279247382</v>
      </c>
      <c r="L86" s="72"/>
    </row>
    <row r="87" customFormat="false" ht="12.8" hidden="false" customHeight="false" outlineLevel="0" collapsed="false">
      <c r="A87" s="132"/>
      <c r="B87" s="115"/>
      <c r="C87" s="115"/>
      <c r="D87" s="115"/>
      <c r="E87" s="115"/>
      <c r="F87" s="133"/>
      <c r="G87" s="133"/>
      <c r="L87" s="72"/>
    </row>
    <row r="88" customFormat="false" ht="13.05" hidden="false" customHeight="true" outlineLevel="0" collapsed="false">
      <c r="A88" s="74" t="s">
        <v>192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2"/>
    </row>
    <row r="89" customFormat="false" ht="12.8" hidden="false" customHeight="false" outlineLevel="0" collapsed="false">
      <c r="A89" s="74"/>
      <c r="B89" s="74"/>
      <c r="C89" s="74"/>
      <c r="D89" s="74"/>
      <c r="E89" s="74"/>
      <c r="F89" s="74"/>
      <c r="G89" s="133"/>
      <c r="L89" s="72"/>
    </row>
    <row r="90" customFormat="false" ht="13.05" hidden="false" customHeight="false" outlineLevel="0" collapsed="false">
      <c r="A90" s="88"/>
      <c r="B90" s="72"/>
      <c r="C90" s="72"/>
      <c r="D90" s="72"/>
      <c r="E90" s="79" t="s">
        <v>97</v>
      </c>
      <c r="F90" s="79" t="s">
        <v>107</v>
      </c>
      <c r="G90" s="72"/>
      <c r="J90" s="79" t="s">
        <v>97</v>
      </c>
      <c r="K90" s="79" t="s">
        <v>107</v>
      </c>
      <c r="L90" s="72"/>
    </row>
    <row r="91" customFormat="false" ht="24.25" hidden="false" customHeight="true" outlineLevel="0" collapsed="false">
      <c r="A91" s="79" t="s">
        <v>193</v>
      </c>
      <c r="B91" s="118" t="s">
        <v>120</v>
      </c>
      <c r="C91" s="118"/>
      <c r="D91" s="118"/>
      <c r="E91" s="79" t="s">
        <v>194</v>
      </c>
      <c r="F91" s="79" t="s">
        <v>194</v>
      </c>
      <c r="G91" s="89"/>
      <c r="H91" s="134"/>
      <c r="I91" s="134"/>
      <c r="J91" s="79"/>
      <c r="K91" s="79"/>
      <c r="L91" s="135"/>
    </row>
    <row r="92" customFormat="false" ht="13.8" hidden="false" customHeight="true" outlineLevel="0" collapsed="false">
      <c r="A92" s="79" t="n">
        <v>1</v>
      </c>
      <c r="B92" s="124" t="s">
        <v>195</v>
      </c>
      <c r="C92" s="124"/>
      <c r="D92" s="124"/>
      <c r="E92" s="103" t="n">
        <f aca="false">I51</f>
        <v>8732.38056</v>
      </c>
      <c r="F92" s="103" t="n">
        <f aca="false">K51</f>
        <v>5746.10472</v>
      </c>
      <c r="G92" s="135"/>
      <c r="H92" s="136" t="s">
        <v>196</v>
      </c>
      <c r="I92" s="136"/>
      <c r="J92" s="137" t="n">
        <f aca="false">(E97/E102)</f>
        <v>0.90436057645539</v>
      </c>
      <c r="K92" s="137" t="n">
        <f aca="false">(F97/F102)</f>
        <v>0.867589768919026</v>
      </c>
      <c r="L92" s="72"/>
    </row>
    <row r="93" customFormat="false" ht="13.8" hidden="false" customHeight="true" outlineLevel="0" collapsed="false">
      <c r="A93" s="79" t="n">
        <v>2</v>
      </c>
      <c r="B93" s="124" t="s">
        <v>197</v>
      </c>
      <c r="C93" s="124"/>
      <c r="D93" s="124"/>
      <c r="E93" s="103" t="n">
        <f aca="false">H65</f>
        <v>808.19424</v>
      </c>
      <c r="F93" s="103" t="n">
        <f aca="false">K65</f>
        <v>3624.0456</v>
      </c>
      <c r="G93" s="138"/>
      <c r="H93" s="136" t="s">
        <v>198</v>
      </c>
      <c r="I93" s="136"/>
      <c r="J93" s="139" t="n">
        <f aca="false">ROUND($E$107*3600/($B$85*$C$85),0)</f>
        <v>24</v>
      </c>
      <c r="K93" s="139" t="n">
        <f aca="false">ROUND($F$107*3600/($B$85*$C$85),0)</f>
        <v>23</v>
      </c>
      <c r="L93" s="72"/>
    </row>
    <row r="94" customFormat="false" ht="14.9" hidden="false" customHeight="true" outlineLevel="0" collapsed="false">
      <c r="A94" s="79" t="n">
        <v>3</v>
      </c>
      <c r="B94" s="124" t="s">
        <v>199</v>
      </c>
      <c r="C94" s="124"/>
      <c r="D94" s="124"/>
      <c r="E94" s="103" t="n">
        <f aca="false">G70</f>
        <v>480</v>
      </c>
      <c r="F94" s="103" t="n">
        <f aca="false">G70</f>
        <v>480</v>
      </c>
      <c r="G94" s="138"/>
      <c r="H94" s="136" t="s">
        <v>200</v>
      </c>
      <c r="I94" s="136"/>
      <c r="J94" s="139" t="n">
        <f aca="false">$E$9-($I$51+$H$65)/(SUMPRODUCT($G$28:$G$43, $F$28:$F$43) + $F$47*$G$47+ $F$49*$G$49)</f>
        <v>-45.3563912704599</v>
      </c>
      <c r="K94" s="139" t="n">
        <f aca="false">$E$15-($K$51+$K$65)/(SUMPRODUCT($G$28:$G$43, $F$28:$F$43) + $F$47*$G$47+ $F$49*$G$49)</f>
        <v>-44.1531956352299</v>
      </c>
      <c r="L94" s="72"/>
    </row>
    <row r="95" customFormat="false" ht="13.8" hidden="false" customHeight="true" outlineLevel="0" collapsed="false">
      <c r="A95" s="79" t="n">
        <v>4</v>
      </c>
      <c r="B95" s="124" t="s">
        <v>201</v>
      </c>
      <c r="C95" s="124"/>
      <c r="D95" s="124"/>
      <c r="E95" s="103" t="n">
        <f aca="false">H81</f>
        <v>1932</v>
      </c>
      <c r="F95" s="103" t="n">
        <f aca="false">H81</f>
        <v>1932</v>
      </c>
      <c r="G95" s="138"/>
      <c r="H95" s="136" t="s">
        <v>202</v>
      </c>
      <c r="I95" s="136"/>
      <c r="J95" s="140" t="n">
        <f aca="false">$M$54</f>
        <v>12</v>
      </c>
      <c r="K95" s="140" t="n">
        <f aca="false">$N$54</f>
        <v>12</v>
      </c>
      <c r="L95" s="72"/>
    </row>
    <row r="96" customFormat="false" ht="13.05" hidden="false" customHeight="true" outlineLevel="0" collapsed="false">
      <c r="A96" s="79" t="n">
        <v>5</v>
      </c>
      <c r="B96" s="124" t="s">
        <v>203</v>
      </c>
      <c r="C96" s="124"/>
      <c r="D96" s="124"/>
      <c r="E96" s="103" t="n">
        <f aca="false">H86</f>
        <v>659.3456</v>
      </c>
      <c r="F96" s="103" t="n">
        <f aca="false">J86</f>
        <v>446.7934</v>
      </c>
      <c r="L96" s="72"/>
    </row>
    <row r="97" customFormat="false" ht="13.05" hidden="false" customHeight="true" outlineLevel="0" collapsed="false">
      <c r="A97" s="141" t="s">
        <v>204</v>
      </c>
      <c r="B97" s="142" t="s">
        <v>205</v>
      </c>
      <c r="C97" s="142"/>
      <c r="D97" s="142"/>
      <c r="E97" s="143" t="n">
        <f aca="false">SUM(E92:E96)</f>
        <v>12611.9204</v>
      </c>
      <c r="F97" s="143" t="n">
        <f aca="false">SUM(F92:F96)</f>
        <v>12228.94372</v>
      </c>
      <c r="L97" s="72"/>
    </row>
    <row r="98" customFormat="false" ht="13.05" hidden="false" customHeight="true" outlineLevel="0" collapsed="false">
      <c r="A98" s="79" t="n">
        <v>1</v>
      </c>
      <c r="B98" s="124" t="s">
        <v>199</v>
      </c>
      <c r="C98" s="124"/>
      <c r="D98" s="124"/>
      <c r="E98" s="103" t="n">
        <f aca="false">H70</f>
        <v>560</v>
      </c>
      <c r="F98" s="103" t="n">
        <f aca="false">H70</f>
        <v>560</v>
      </c>
      <c r="L98" s="72"/>
    </row>
    <row r="99" customFormat="false" ht="13.05" hidden="false" customHeight="true" outlineLevel="0" collapsed="false">
      <c r="A99" s="79" t="n">
        <v>2</v>
      </c>
      <c r="B99" s="124" t="s">
        <v>206</v>
      </c>
      <c r="C99" s="124"/>
      <c r="D99" s="124"/>
      <c r="E99" s="103" t="n">
        <f aca="false">I81</f>
        <v>0</v>
      </c>
      <c r="F99" s="103" t="n">
        <f aca="false">I81</f>
        <v>0</v>
      </c>
      <c r="L99" s="72"/>
    </row>
    <row r="100" customFormat="false" ht="13.05" hidden="false" customHeight="true" outlineLevel="0" collapsed="false">
      <c r="A100" s="79" t="n">
        <v>3</v>
      </c>
      <c r="B100" s="124" t="s">
        <v>203</v>
      </c>
      <c r="C100" s="124"/>
      <c r="D100" s="124"/>
      <c r="E100" s="103" t="n">
        <f aca="false">I86</f>
        <v>773.756499618945</v>
      </c>
      <c r="F100" s="103" t="n">
        <f aca="false">K86</f>
        <v>1306.36279247382</v>
      </c>
      <c r="L100" s="72"/>
    </row>
    <row r="101" customFormat="false" ht="13.05" hidden="false" customHeight="true" outlineLevel="0" collapsed="false">
      <c r="A101" s="141" t="s">
        <v>207</v>
      </c>
      <c r="B101" s="142" t="s">
        <v>208</v>
      </c>
      <c r="C101" s="142"/>
      <c r="D101" s="142"/>
      <c r="E101" s="143" t="n">
        <f aca="false">SUM(E98:E100)</f>
        <v>1333.75649961894</v>
      </c>
      <c r="F101" s="143" t="n">
        <f aca="false">SUM(F98:F100)</f>
        <v>1866.36279247382</v>
      </c>
      <c r="L101" s="72"/>
    </row>
    <row r="102" customFormat="false" ht="13.05" hidden="false" customHeight="true" outlineLevel="0" collapsed="false">
      <c r="A102" s="141" t="s">
        <v>209</v>
      </c>
      <c r="B102" s="142" t="s">
        <v>210</v>
      </c>
      <c r="C102" s="142"/>
      <c r="D102" s="142"/>
      <c r="E102" s="143" t="n">
        <f aca="false">E97+E101</f>
        <v>13945.6768996189</v>
      </c>
      <c r="F102" s="143" t="n">
        <f aca="false">F97+F101</f>
        <v>14095.3065124738</v>
      </c>
      <c r="L102" s="72"/>
    </row>
    <row r="103" s="147" customFormat="true" ht="12.8" hidden="false" customHeight="true" outlineLevel="0" collapsed="false">
      <c r="A103" s="79"/>
      <c r="B103" s="124" t="s">
        <v>211</v>
      </c>
      <c r="C103" s="124"/>
      <c r="D103" s="124"/>
      <c r="E103" s="144" t="n">
        <f aca="false">E115</f>
        <v>13.9241607666392</v>
      </c>
      <c r="F103" s="144" t="n">
        <f aca="false">F115</f>
        <v>13.9250771026355</v>
      </c>
      <c r="G103" s="70"/>
      <c r="H103" s="70"/>
      <c r="I103" s="70"/>
      <c r="J103" s="70"/>
      <c r="K103" s="70"/>
      <c r="L103" s="146"/>
    </row>
    <row r="104" customFormat="false" ht="13.05" hidden="false" customHeight="true" outlineLevel="0" collapsed="false">
      <c r="A104" s="79"/>
      <c r="B104" s="124" t="s">
        <v>212</v>
      </c>
      <c r="C104" s="124"/>
      <c r="D104" s="124"/>
      <c r="E104" s="148" t="n">
        <f aca="false">E97/(1230*($E$9-E103))</f>
        <v>1.26966294459915</v>
      </c>
      <c r="F104" s="148" t="n">
        <f aca="false">F97/(1230*($E$15-F103))</f>
        <v>1.23124775221218</v>
      </c>
      <c r="L104" s="72"/>
    </row>
    <row r="105" customFormat="false" ht="13.05" hidden="false" customHeight="true" outlineLevel="0" collapsed="false">
      <c r="A105" s="141" t="s">
        <v>213</v>
      </c>
      <c r="B105" s="142" t="s">
        <v>214</v>
      </c>
      <c r="C105" s="142"/>
      <c r="D105" s="142"/>
      <c r="E105" s="143" t="n">
        <f aca="false">1230*E104*1</f>
        <v>1561.68542185695</v>
      </c>
      <c r="F105" s="143" t="n">
        <f aca="false">1230*F104*1</f>
        <v>1514.43473522098</v>
      </c>
      <c r="G105" s="73"/>
      <c r="L105" s="72"/>
    </row>
    <row r="106" s="150" customFormat="true" ht="13.05" hidden="false" customHeight="true" outlineLevel="0" collapsed="false">
      <c r="A106" s="141" t="s">
        <v>215</v>
      </c>
      <c r="B106" s="142" t="s">
        <v>216</v>
      </c>
      <c r="C106" s="142"/>
      <c r="D106" s="142"/>
      <c r="E106" s="149" t="n">
        <f aca="false">E123*1000</f>
        <v>2960</v>
      </c>
      <c r="F106" s="149" t="n">
        <f aca="false">F123*1000</f>
        <v>2310</v>
      </c>
      <c r="G106" s="73"/>
      <c r="H106" s="70"/>
      <c r="I106" s="70"/>
      <c r="J106" s="70"/>
      <c r="K106" s="70"/>
      <c r="L106" s="73"/>
      <c r="AMJ106" s="71"/>
    </row>
    <row r="107" s="150" customFormat="true" ht="13.05" hidden="false" customHeight="true" outlineLevel="0" collapsed="false">
      <c r="A107" s="79"/>
      <c r="B107" s="82" t="s">
        <v>217</v>
      </c>
      <c r="C107" s="82"/>
      <c r="D107" s="82"/>
      <c r="E107" s="148" t="n">
        <f aca="false">(E97+E105+E106)/(1230*($E$9-E103))</f>
        <v>1.72486851561322</v>
      </c>
      <c r="F107" s="148" t="n">
        <f aca="false">(F97+F105+F106)/(1230*($E$15-F103))</f>
        <v>1.61630363103857</v>
      </c>
      <c r="G107" s="72"/>
      <c r="H107" s="70"/>
      <c r="I107" s="70"/>
      <c r="J107" s="70"/>
      <c r="K107" s="70"/>
      <c r="L107" s="73"/>
      <c r="AMJ107" s="71"/>
    </row>
    <row r="108" customFormat="false" ht="24.25" hidden="false" customHeight="true" outlineLevel="0" collapsed="false">
      <c r="A108" s="79"/>
      <c r="B108" s="124" t="s">
        <v>218</v>
      </c>
      <c r="C108" s="124"/>
      <c r="D108" s="124"/>
      <c r="E108" s="151" t="n">
        <f aca="false">$E$11-E101/(3010000*E107)</f>
        <v>0.00928801931784163</v>
      </c>
      <c r="F108" s="151" t="n">
        <f aca="false">$E$17-F101/(3010000*F107)</f>
        <v>0.00948322179341587</v>
      </c>
      <c r="L108" s="72"/>
    </row>
    <row r="109" customFormat="false" ht="12.8" hidden="false" customHeight="true" outlineLevel="0" collapsed="false">
      <c r="A109" s="79"/>
      <c r="B109" s="124" t="s">
        <v>219</v>
      </c>
      <c r="C109" s="124"/>
      <c r="D109" s="124"/>
      <c r="E109" s="152" t="n">
        <v>0.2</v>
      </c>
      <c r="F109" s="152" t="n">
        <v>0.2</v>
      </c>
      <c r="L109" s="72"/>
    </row>
    <row r="110" customFormat="false" ht="12.8" hidden="false" customHeight="true" outlineLevel="0" collapsed="false">
      <c r="A110" s="79"/>
      <c r="B110" s="124" t="s">
        <v>220</v>
      </c>
      <c r="C110" s="124"/>
      <c r="D110" s="124"/>
      <c r="E110" s="152" t="n">
        <v>0.1</v>
      </c>
      <c r="F110" s="152" t="n">
        <v>0.1</v>
      </c>
      <c r="L110" s="72"/>
    </row>
    <row r="111" customFormat="false" ht="13.05" hidden="false" customHeight="true" outlineLevel="0" collapsed="false">
      <c r="A111" s="79"/>
      <c r="B111" s="124" t="s">
        <v>221</v>
      </c>
      <c r="C111" s="124"/>
      <c r="D111" s="124"/>
      <c r="E111" s="153" t="n">
        <f aca="false">E109*($D$9-$E$9)+$E$9</f>
        <v>25.04</v>
      </c>
      <c r="F111" s="153" t="n">
        <f aca="false">F109*($D$15-$E$15)+$E$15</f>
        <v>24.06</v>
      </c>
      <c r="L111" s="72"/>
    </row>
    <row r="112" customFormat="false" ht="13.05" hidden="false" customHeight="true" outlineLevel="0" collapsed="false">
      <c r="A112" s="79"/>
      <c r="B112" s="124" t="s">
        <v>222</v>
      </c>
      <c r="C112" s="124"/>
      <c r="D112" s="124"/>
      <c r="E112" s="151" t="n">
        <f aca="false">E109*($D$11-$E$11)+$E$11</f>
        <v>0.0110034855838033</v>
      </c>
      <c r="F112" s="151" t="n">
        <f aca="false">F109*($D$17-$E$17)+$E$17</f>
        <v>0.0123361188058262</v>
      </c>
      <c r="L112" s="72"/>
    </row>
    <row r="113" customFormat="false" ht="14.9" hidden="false" customHeight="true" outlineLevel="0" collapsed="false">
      <c r="A113" s="79"/>
      <c r="B113" s="124" t="s">
        <v>223</v>
      </c>
      <c r="C113" s="124"/>
      <c r="D113" s="124"/>
      <c r="E113" s="151" t="n">
        <f aca="false">(E108-E110*E112)/(1-E110)</f>
        <v>0.00909741195495701</v>
      </c>
      <c r="F113" s="151" t="n">
        <f aca="false">(F108-F110*F112)/(1-F110)</f>
        <v>0.00916623323648139</v>
      </c>
      <c r="L113" s="72"/>
    </row>
    <row r="114" s="147" customFormat="true" ht="14.9" hidden="false" customHeight="true" outlineLevel="0" collapsed="false">
      <c r="A114" s="154"/>
      <c r="B114" s="155" t="s">
        <v>224</v>
      </c>
      <c r="C114" s="155"/>
      <c r="D114" s="155"/>
      <c r="E114" s="156" t="n">
        <f aca="false">1730.63/(8.07131-LOG10(E113*101325/(0.62198+E108)*0.00750062))-233.426</f>
        <v>12.689067518488</v>
      </c>
      <c r="F114" s="156" t="n">
        <f aca="false">1730.63/(8.07131-LOG10(F113*101325/(0.62198+F108)*0.00750062))-233.426</f>
        <v>12.7989745584839</v>
      </c>
      <c r="L114" s="146"/>
    </row>
    <row r="115" customFormat="false" ht="13.05" hidden="false" customHeight="true" outlineLevel="0" collapsed="false">
      <c r="A115" s="79"/>
      <c r="B115" s="124" t="s">
        <v>225</v>
      </c>
      <c r="C115" s="124"/>
      <c r="D115" s="124"/>
      <c r="E115" s="153" t="n">
        <f aca="false">E114+E110*(E111-E114)</f>
        <v>13.9241607666392</v>
      </c>
      <c r="F115" s="153" t="n">
        <f aca="false">F114+F110*(F111-F114)</f>
        <v>13.9250771026355</v>
      </c>
      <c r="L115" s="72"/>
    </row>
    <row r="116" customFormat="false" ht="13.8" hidden="false" customHeight="true" outlineLevel="0" collapsed="false">
      <c r="A116" s="141" t="s">
        <v>226</v>
      </c>
      <c r="B116" s="157" t="s">
        <v>227</v>
      </c>
      <c r="C116" s="157"/>
      <c r="D116" s="157"/>
      <c r="E116" s="143" t="n">
        <f aca="false">1230*E107*(E111-E115)</f>
        <v>23583.2341754379</v>
      </c>
      <c r="F116" s="143" t="n">
        <f aca="false">1230*F107*(F111-F115)</f>
        <v>20148.7685955465</v>
      </c>
      <c r="G116" s="135"/>
      <c r="H116" s="135"/>
      <c r="I116" s="135"/>
      <c r="J116" s="135"/>
      <c r="K116" s="135"/>
      <c r="L116" s="72"/>
    </row>
    <row r="117" s="150" customFormat="true" ht="13.05" hidden="false" customHeight="true" outlineLevel="0" collapsed="false">
      <c r="A117" s="141" t="s">
        <v>228</v>
      </c>
      <c r="B117" s="157" t="s">
        <v>229</v>
      </c>
      <c r="C117" s="157"/>
      <c r="D117" s="157"/>
      <c r="E117" s="143" t="n">
        <f aca="false">3010000*E107*(E112-E108)</f>
        <v>8906.45079277882</v>
      </c>
      <c r="F117" s="143" t="n">
        <f aca="false">3010000*F107*(F112-F108)</f>
        <v>13879.554878415</v>
      </c>
      <c r="G117" s="74" t="s">
        <v>230</v>
      </c>
      <c r="H117" s="74"/>
      <c r="I117" s="74"/>
      <c r="J117" s="74"/>
      <c r="K117" s="74"/>
      <c r="AMJ117" s="71"/>
    </row>
    <row r="118" s="150" customFormat="true" ht="13.05" hidden="false" customHeight="true" outlineLevel="0" collapsed="false">
      <c r="A118" s="141" t="s">
        <v>231</v>
      </c>
      <c r="B118" s="157" t="s">
        <v>232</v>
      </c>
      <c r="C118" s="157"/>
      <c r="D118" s="157"/>
      <c r="E118" s="143" t="n">
        <f aca="false">E116+E117</f>
        <v>32489.6849682167</v>
      </c>
      <c r="F118" s="143" t="n">
        <f aca="false">F116+F117</f>
        <v>34028.3234739615</v>
      </c>
      <c r="G118" s="70"/>
      <c r="H118" s="105"/>
      <c r="I118" s="70"/>
      <c r="J118" s="70"/>
      <c r="K118" s="70"/>
      <c r="AMJ118" s="71"/>
    </row>
    <row r="119" s="150" customFormat="true" ht="12.8" hidden="false" customHeight="true" outlineLevel="0" collapsed="false">
      <c r="A119" s="141"/>
      <c r="B119" s="157" t="s">
        <v>233</v>
      </c>
      <c r="C119" s="157"/>
      <c r="D119" s="157"/>
      <c r="E119" s="158" t="n">
        <f aca="false">E118/3517</f>
        <v>9.23789734666384</v>
      </c>
      <c r="F119" s="158" t="n">
        <f aca="false">F118/3517</f>
        <v>9.67538341596857</v>
      </c>
      <c r="G119" s="159" t="s">
        <v>204</v>
      </c>
      <c r="H119" s="160" t="s">
        <v>234</v>
      </c>
      <c r="I119" s="160"/>
      <c r="J119" s="161" t="n">
        <f aca="false">MAX(E119:F119)*1.1</f>
        <v>10.6429217575654</v>
      </c>
      <c r="K119" s="150" t="s">
        <v>17</v>
      </c>
      <c r="AMJ119" s="71"/>
    </row>
    <row r="120" customFormat="false" ht="12.8" hidden="false" customHeight="true" outlineLevel="0" collapsed="false">
      <c r="A120" s="162" t="s">
        <v>235</v>
      </c>
      <c r="B120" s="163" t="s">
        <v>236</v>
      </c>
      <c r="C120" s="163"/>
      <c r="D120" s="163"/>
      <c r="E120" s="164" t="n">
        <f aca="false">1230*E107*(E103-E115)/1000</f>
        <v>0</v>
      </c>
      <c r="F120" s="164" t="n">
        <f aca="false">1230*F107*(F103-F115)/1000</f>
        <v>0</v>
      </c>
      <c r="G120" s="159" t="s">
        <v>207</v>
      </c>
      <c r="H120" s="160" t="s">
        <v>237</v>
      </c>
      <c r="I120" s="160"/>
      <c r="J120" s="165" t="n">
        <f aca="false">MAX(E121:F121)*1.1</f>
        <v>6830.47932182834</v>
      </c>
      <c r="K120" s="150" t="s">
        <v>7</v>
      </c>
      <c r="L120" s="72"/>
    </row>
    <row r="121" customFormat="false" ht="24.25" hidden="false" customHeight="true" outlineLevel="0" collapsed="false">
      <c r="A121" s="141" t="s">
        <v>238</v>
      </c>
      <c r="B121" s="157" t="s">
        <v>239</v>
      </c>
      <c r="C121" s="157"/>
      <c r="D121" s="157"/>
      <c r="E121" s="143" t="n">
        <f aca="false">E107*3600</f>
        <v>6209.52665620758</v>
      </c>
      <c r="F121" s="143" t="n">
        <f aca="false">F107*3600</f>
        <v>5818.69307173885</v>
      </c>
      <c r="G121" s="74"/>
      <c r="H121" s="166" t="s">
        <v>240</v>
      </c>
      <c r="I121" s="166"/>
      <c r="J121" s="167"/>
      <c r="K121" s="74"/>
    </row>
    <row r="122" customFormat="false" ht="12.8" hidden="false" customHeight="true" outlineLevel="0" collapsed="false">
      <c r="A122" s="79"/>
      <c r="B122" s="82" t="s">
        <v>241</v>
      </c>
      <c r="C122" s="82"/>
      <c r="D122" s="82"/>
      <c r="E122" s="168" t="n">
        <v>1200</v>
      </c>
      <c r="F122" s="168" t="n">
        <v>1200</v>
      </c>
      <c r="H122" s="169" t="s">
        <v>242</v>
      </c>
      <c r="I122" s="169"/>
      <c r="J122" s="170" t="n">
        <f aca="false">ROUND((J120/1.7)/J119,0)</f>
        <v>378</v>
      </c>
    </row>
    <row r="123" customFormat="false" ht="13.05" hidden="false" customHeight="true" outlineLevel="0" collapsed="false">
      <c r="A123" s="79"/>
      <c r="B123" s="82" t="s">
        <v>243</v>
      </c>
      <c r="C123" s="82"/>
      <c r="D123" s="82"/>
      <c r="E123" s="148" t="n">
        <f aca="false">ROUNDUP(E107*E122/(0.7*0.95)/1000,2)</f>
        <v>2.96</v>
      </c>
      <c r="F123" s="148" t="n">
        <f aca="false">ROUNDUP(F107*F122/(0.7*0.95)/1000,2)</f>
        <v>2.31</v>
      </c>
      <c r="H123" s="169" t="s">
        <v>244</v>
      </c>
      <c r="I123" s="169"/>
      <c r="J123" s="170" t="n">
        <f aca="false">ROUND(B85/J119,1)</f>
        <v>5.2</v>
      </c>
    </row>
    <row r="124" customFormat="false" ht="13.8" hidden="false" customHeight="false" outlineLevel="0" collapsed="false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</row>
    <row r="125" s="70" customFormat="true" ht="13.8" hidden="false" customHeight="false" outlineLevel="0" collapsed="false">
      <c r="G125" s="135"/>
      <c r="H125" s="135"/>
      <c r="I125" s="135"/>
      <c r="J125" s="135"/>
      <c r="K125" s="135"/>
      <c r="AMJ125" s="71"/>
    </row>
    <row r="126" s="70" customFormat="true" ht="13.8" hidden="false" customHeight="false" outlineLevel="0" collapsed="false">
      <c r="G126" s="135"/>
      <c r="H126" s="135"/>
      <c r="I126" s="135"/>
      <c r="J126" s="135"/>
      <c r="K126" s="135"/>
      <c r="AMJ126" s="71"/>
    </row>
    <row r="127" s="70" customFormat="true" ht="12.8" hidden="false" customHeight="false" outlineLevel="0" collapsed="false">
      <c r="AMJ127" s="71"/>
    </row>
    <row r="128" s="70" customFormat="true" ht="12.8" hidden="false" customHeight="false" outlineLevel="0" collapsed="false">
      <c r="AMJ128" s="71"/>
    </row>
  </sheetData>
  <mergeCells count="108">
    <mergeCell ref="A2:K2"/>
    <mergeCell ref="B4:G4"/>
    <mergeCell ref="B5:G5"/>
    <mergeCell ref="E6:G6"/>
    <mergeCell ref="A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F53:H53"/>
    <mergeCell ref="I53:K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0:F70"/>
    <mergeCell ref="A72:E72"/>
    <mergeCell ref="B81:G81"/>
    <mergeCell ref="H83:I83"/>
    <mergeCell ref="J83:K83"/>
    <mergeCell ref="B86:G86"/>
    <mergeCell ref="A88:K88"/>
    <mergeCell ref="B91:D91"/>
    <mergeCell ref="H91:I91"/>
    <mergeCell ref="B92:D92"/>
    <mergeCell ref="H92:I92"/>
    <mergeCell ref="B93:D93"/>
    <mergeCell ref="H93:I93"/>
    <mergeCell ref="B94:D94"/>
    <mergeCell ref="H94:I94"/>
    <mergeCell ref="B95:D95"/>
    <mergeCell ref="H95:I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G117:K117"/>
    <mergeCell ref="B118:D118"/>
    <mergeCell ref="B119:D119"/>
    <mergeCell ref="H119:I119"/>
    <mergeCell ref="B120:D120"/>
    <mergeCell ref="H120:I120"/>
    <mergeCell ref="B121:D121"/>
    <mergeCell ref="H121:I121"/>
    <mergeCell ref="B122:D122"/>
    <mergeCell ref="H122:I122"/>
    <mergeCell ref="B123:D123"/>
    <mergeCell ref="H123:I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1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0"/>
  <sheetViews>
    <sheetView showFormulas="false" showGridLines="true" showRowColHeaders="true" showZeros="true" rightToLeft="false" tabSelected="false" showOutlineSymbols="true" defaultGridColor="true" view="pageBreakPreview" topLeftCell="D65" colorId="64" zoomScale="130" zoomScaleNormal="100" zoomScalePageLayoutView="130" workbookViewId="0">
      <selection pane="topLeft" activeCell="J73" activeCellId="0" sqref="J73"/>
    </sheetView>
  </sheetViews>
  <sheetFormatPr defaultColWidth="9.13671875" defaultRowHeight="12.8" zeroHeight="false" outlineLevelRow="0" outlineLevelCol="0"/>
  <cols>
    <col collapsed="false" customWidth="false" hidden="false" outlineLevel="0" max="1" min="1" style="171" width="9.13"/>
    <col collapsed="false" customWidth="true" hidden="false" outlineLevel="0" max="2" min="2" style="172" width="22.78"/>
    <col collapsed="false" customWidth="true" hidden="false" outlineLevel="0" max="3" min="3" style="172" width="19.34"/>
    <col collapsed="false" customWidth="true" hidden="false" outlineLevel="0" max="9" min="4" style="172" width="13.7"/>
    <col collapsed="false" customWidth="false" hidden="false" outlineLevel="0" max="1024" min="10" style="172" width="9.13"/>
  </cols>
  <sheetData>
    <row r="1" customFormat="false" ht="12.8" hidden="false" customHeight="false" outlineLevel="0" collapsed="false">
      <c r="B1" s="173" t="s">
        <v>249</v>
      </c>
    </row>
    <row r="3" s="175" customFormat="true" ht="14.9" hidden="false" customHeight="false" outlineLevel="0" collapsed="false">
      <c r="A3" s="174" t="s">
        <v>204</v>
      </c>
      <c r="B3" s="173" t="s">
        <v>250</v>
      </c>
    </row>
    <row r="4" s="175" customFormat="true" ht="15.5" hidden="false" customHeight="true" outlineLevel="0" collapsed="false">
      <c r="A4" s="174"/>
      <c r="B4" s="173"/>
      <c r="C4" s="176" t="s">
        <v>97</v>
      </c>
      <c r="D4" s="176"/>
      <c r="E4" s="176" t="s">
        <v>107</v>
      </c>
      <c r="F4" s="176"/>
    </row>
    <row r="5" s="175" customFormat="true" ht="28.7" hidden="false" customHeight="false" outlineLevel="0" collapsed="false">
      <c r="A5" s="174"/>
      <c r="B5" s="177" t="s">
        <v>251</v>
      </c>
      <c r="C5" s="178" t="s">
        <v>252</v>
      </c>
      <c r="D5" s="179" t="s">
        <v>253</v>
      </c>
      <c r="E5" s="178" t="s">
        <v>254</v>
      </c>
      <c r="F5" s="179" t="s">
        <v>253</v>
      </c>
    </row>
    <row r="6" s="183" customFormat="true" ht="14.9" hidden="false" customHeight="false" outlineLevel="0" collapsed="false">
      <c r="A6" s="180"/>
      <c r="B6" s="181"/>
      <c r="C6" s="182" t="s">
        <v>255</v>
      </c>
      <c r="D6" s="181" t="s">
        <v>256</v>
      </c>
      <c r="E6" s="182" t="s">
        <v>255</v>
      </c>
      <c r="F6" s="181" t="s">
        <v>256</v>
      </c>
    </row>
    <row r="7" s="175" customFormat="true" ht="12.8" hidden="false" customHeight="false" outlineLevel="0" collapsed="false">
      <c r="A7" s="174"/>
      <c r="B7" s="177"/>
      <c r="C7" s="178"/>
      <c r="D7" s="177"/>
      <c r="E7" s="178"/>
      <c r="F7" s="177"/>
    </row>
    <row r="8" customFormat="false" ht="14.9" hidden="false" customHeight="false" outlineLevel="0" collapsed="false">
      <c r="B8" s="184" t="s">
        <v>257</v>
      </c>
      <c r="C8" s="185" t="n">
        <v>75</v>
      </c>
      <c r="D8" s="186" t="n">
        <f aca="false">ROUND(C8*3.1546,0)</f>
        <v>237</v>
      </c>
      <c r="E8" s="185" t="n">
        <v>32</v>
      </c>
      <c r="F8" s="186" t="n">
        <f aca="false">ROUND(E8*3.1546,0)</f>
        <v>101</v>
      </c>
    </row>
    <row r="9" customFormat="false" ht="14.9" hidden="false" customHeight="false" outlineLevel="0" collapsed="false">
      <c r="B9" s="184" t="s">
        <v>258</v>
      </c>
      <c r="C9" s="185" t="n">
        <v>198</v>
      </c>
      <c r="D9" s="186" t="n">
        <f aca="false">ROUND(C9*3.1546,0)</f>
        <v>625</v>
      </c>
      <c r="E9" s="185" t="n">
        <v>63</v>
      </c>
      <c r="F9" s="186" t="n">
        <f aca="false">ROUND(E9*3.1546,0)</f>
        <v>199</v>
      </c>
    </row>
    <row r="10" customFormat="false" ht="14.9" hidden="false" customHeight="false" outlineLevel="0" collapsed="false">
      <c r="B10" s="184" t="s">
        <v>190</v>
      </c>
      <c r="C10" s="185" t="n">
        <v>204</v>
      </c>
      <c r="D10" s="186" t="n">
        <f aca="false">ROUND(C10*3.1546,0)</f>
        <v>644</v>
      </c>
      <c r="E10" s="185" t="n">
        <v>214</v>
      </c>
      <c r="F10" s="186" t="n">
        <f aca="false">ROUND(E10*3.1546,0)</f>
        <v>675</v>
      </c>
    </row>
    <row r="11" customFormat="false" ht="14.9" hidden="false" customHeight="false" outlineLevel="0" collapsed="false">
      <c r="B11" s="184" t="s">
        <v>259</v>
      </c>
      <c r="C11" s="185" t="n">
        <v>90</v>
      </c>
      <c r="D11" s="186" t="n">
        <f aca="false">ROUND(C11*3.1546,0)</f>
        <v>284</v>
      </c>
      <c r="E11" s="185" t="n">
        <v>243</v>
      </c>
      <c r="F11" s="186" t="n">
        <f aca="false">ROUND(E11*3.1546,0)</f>
        <v>767</v>
      </c>
    </row>
    <row r="12" customFormat="false" ht="14.9" hidden="false" customHeight="false" outlineLevel="0" collapsed="false">
      <c r="B12" s="184" t="s">
        <v>260</v>
      </c>
      <c r="C12" s="185" t="n">
        <v>40</v>
      </c>
      <c r="D12" s="186" t="n">
        <f aca="false">ROUND(C12*3.1546,0)</f>
        <v>126</v>
      </c>
      <c r="E12" s="185" t="n">
        <v>179</v>
      </c>
      <c r="F12" s="186" t="n">
        <f aca="false">ROUND(E12*3.1546,0)</f>
        <v>565</v>
      </c>
    </row>
    <row r="13" customFormat="false" ht="14.9" hidden="false" customHeight="false" outlineLevel="0" collapsed="false">
      <c r="B13" s="184" t="s">
        <v>261</v>
      </c>
      <c r="C13" s="185" t="n">
        <v>90</v>
      </c>
      <c r="D13" s="186" t="n">
        <f aca="false">ROUND(C13*3.1546,0)</f>
        <v>284</v>
      </c>
      <c r="E13" s="185" t="n">
        <v>243</v>
      </c>
      <c r="F13" s="186" t="n">
        <f aca="false">ROUND(E13*3.1546,0)</f>
        <v>767</v>
      </c>
    </row>
    <row r="14" customFormat="false" ht="14.9" hidden="false" customHeight="false" outlineLevel="0" collapsed="false">
      <c r="B14" s="184" t="s">
        <v>262</v>
      </c>
      <c r="C14" s="185" t="n">
        <v>204</v>
      </c>
      <c r="D14" s="186" t="n">
        <f aca="false">ROUND(C14*3.1546,0)</f>
        <v>644</v>
      </c>
      <c r="E14" s="185" t="n">
        <v>214</v>
      </c>
      <c r="F14" s="186" t="n">
        <f aca="false">ROUND(E14*3.1546,0)</f>
        <v>675</v>
      </c>
    </row>
    <row r="15" customFormat="false" ht="14.9" hidden="false" customHeight="false" outlineLevel="0" collapsed="false">
      <c r="B15" s="184" t="s">
        <v>263</v>
      </c>
      <c r="C15" s="185" t="n">
        <v>198</v>
      </c>
      <c r="D15" s="186" t="n">
        <f aca="false">ROUND(C15*3.1546,0)</f>
        <v>625</v>
      </c>
      <c r="E15" s="185" t="n">
        <v>63</v>
      </c>
      <c r="F15" s="186" t="n">
        <f aca="false">ROUND(E15*3.1546,0)</f>
        <v>199</v>
      </c>
    </row>
    <row r="16" customFormat="false" ht="14.9" hidden="false" customHeight="false" outlineLevel="0" collapsed="false">
      <c r="B16" s="184" t="s">
        <v>264</v>
      </c>
      <c r="C16" s="185" t="n">
        <v>274</v>
      </c>
      <c r="D16" s="186" t="n">
        <f aca="false">ROUND(C16*3.1546,0)</f>
        <v>864</v>
      </c>
      <c r="E16" s="185" t="n">
        <v>260</v>
      </c>
      <c r="F16" s="186" t="n">
        <f aca="false">ROUND(E16*3.1546,0)</f>
        <v>820</v>
      </c>
    </row>
    <row r="17" customFormat="false" ht="12.8" hidden="false" customHeight="false" outlineLevel="0" collapsed="false">
      <c r="B17" s="171"/>
      <c r="C17" s="171"/>
      <c r="D17" s="171"/>
      <c r="E17" s="171"/>
      <c r="F17" s="171"/>
    </row>
    <row r="18" s="175" customFormat="true" ht="14.9" hidden="false" customHeight="false" outlineLevel="0" collapsed="false">
      <c r="A18" s="174" t="s">
        <v>204</v>
      </c>
      <c r="B18" s="173" t="s">
        <v>265</v>
      </c>
    </row>
    <row r="19" s="175" customFormat="true" ht="12.8" hidden="false" customHeight="false" outlineLevel="0" collapsed="false">
      <c r="A19" s="174"/>
      <c r="B19" s="173"/>
      <c r="C19" s="172"/>
      <c r="D19" s="172"/>
      <c r="E19" s="172"/>
      <c r="F19" s="172"/>
    </row>
    <row r="20" s="175" customFormat="true" ht="15.5" hidden="false" customHeight="true" outlineLevel="0" collapsed="false">
      <c r="A20" s="174"/>
      <c r="B20" s="187" t="s">
        <v>251</v>
      </c>
      <c r="C20" s="176" t="s">
        <v>266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</row>
    <row r="21" s="180" customFormat="true" ht="14.9" hidden="false" customHeight="false" outlineLevel="0" collapsed="false">
      <c r="B21" s="188"/>
      <c r="C21" s="188" t="n">
        <v>6</v>
      </c>
      <c r="D21" s="188" t="n">
        <v>7</v>
      </c>
      <c r="E21" s="188" t="n">
        <v>8</v>
      </c>
      <c r="F21" s="188" t="n">
        <v>9</v>
      </c>
      <c r="G21" s="188" t="n">
        <v>10</v>
      </c>
      <c r="H21" s="188" t="n">
        <v>11</v>
      </c>
      <c r="I21" s="188" t="n">
        <v>12</v>
      </c>
      <c r="J21" s="188" t="n">
        <v>13</v>
      </c>
      <c r="K21" s="188" t="n">
        <v>14</v>
      </c>
      <c r="L21" s="188" t="n">
        <v>15</v>
      </c>
      <c r="M21" s="188" t="n">
        <v>16</v>
      </c>
      <c r="N21" s="188" t="n">
        <v>17</v>
      </c>
      <c r="O21" s="188" t="n">
        <v>18</v>
      </c>
    </row>
    <row r="22" s="175" customFormat="true" ht="12.8" hidden="false" customHeight="false" outlineLevel="0" collapsed="false">
      <c r="A22" s="174"/>
      <c r="B22" s="187"/>
      <c r="C22" s="189"/>
      <c r="D22" s="189"/>
      <c r="E22" s="189"/>
      <c r="F22" s="189"/>
      <c r="G22" s="187"/>
      <c r="H22" s="187"/>
      <c r="I22" s="187"/>
      <c r="J22" s="187"/>
      <c r="K22" s="187"/>
      <c r="L22" s="187"/>
      <c r="M22" s="187"/>
      <c r="N22" s="187"/>
      <c r="O22" s="187"/>
    </row>
    <row r="23" customFormat="false" ht="14.9" hidden="false" customHeight="false" outlineLevel="0" collapsed="false">
      <c r="B23" s="189" t="s">
        <v>257</v>
      </c>
      <c r="C23" s="190" t="n">
        <v>0.73</v>
      </c>
      <c r="D23" s="190" t="n">
        <v>0.66</v>
      </c>
      <c r="E23" s="190" t="n">
        <v>0.65</v>
      </c>
      <c r="F23" s="190" t="n">
        <v>0.73</v>
      </c>
      <c r="G23" s="190" t="n">
        <v>0.8</v>
      </c>
      <c r="H23" s="190" t="n">
        <v>0.86</v>
      </c>
      <c r="I23" s="190" t="n">
        <v>0.89</v>
      </c>
      <c r="J23" s="190" t="n">
        <v>0.89</v>
      </c>
      <c r="K23" s="190" t="n">
        <v>0.86</v>
      </c>
      <c r="L23" s="190" t="n">
        <v>0.82</v>
      </c>
      <c r="M23" s="190" t="n">
        <v>0.75</v>
      </c>
      <c r="N23" s="190" t="n">
        <v>0.78</v>
      </c>
      <c r="O23" s="190" t="n">
        <v>0.91</v>
      </c>
    </row>
    <row r="24" customFormat="false" ht="14.9" hidden="false" customHeight="false" outlineLevel="0" collapsed="false">
      <c r="B24" s="189" t="s">
        <v>258</v>
      </c>
      <c r="C24" s="190" t="n">
        <v>0.56</v>
      </c>
      <c r="D24" s="190" t="n">
        <v>0.76</v>
      </c>
      <c r="E24" s="190" t="n">
        <v>0.74</v>
      </c>
      <c r="F24" s="190" t="n">
        <v>0.58</v>
      </c>
      <c r="G24" s="190" t="n">
        <v>0.37</v>
      </c>
      <c r="H24" s="190" t="n">
        <v>0.29</v>
      </c>
      <c r="I24" s="190" t="n">
        <v>0.27</v>
      </c>
      <c r="J24" s="190" t="n">
        <v>0.26</v>
      </c>
      <c r="K24" s="190" t="n">
        <v>0.24</v>
      </c>
      <c r="L24" s="190" t="n">
        <v>0.22</v>
      </c>
      <c r="M24" s="190" t="n">
        <v>0.2</v>
      </c>
      <c r="N24" s="190" t="n">
        <v>0.16</v>
      </c>
      <c r="O24" s="190" t="n">
        <v>0.12</v>
      </c>
    </row>
    <row r="25" customFormat="false" ht="14.9" hidden="false" customHeight="false" outlineLevel="0" collapsed="false">
      <c r="B25" s="189" t="s">
        <v>190</v>
      </c>
      <c r="C25" s="190" t="n">
        <v>0.47</v>
      </c>
      <c r="D25" s="189" t="n">
        <v>0.72</v>
      </c>
      <c r="E25" s="189" t="n">
        <v>0.8</v>
      </c>
      <c r="F25" s="189" t="n">
        <v>0.76</v>
      </c>
      <c r="G25" s="189" t="n">
        <v>0.62</v>
      </c>
      <c r="H25" s="189" t="n">
        <v>0.41</v>
      </c>
      <c r="I25" s="189" t="n">
        <v>0.27</v>
      </c>
      <c r="J25" s="189" t="n">
        <v>0.26</v>
      </c>
      <c r="K25" s="189" t="n">
        <v>0.24</v>
      </c>
      <c r="L25" s="189" t="n">
        <v>0.22</v>
      </c>
      <c r="M25" s="189" t="n">
        <v>0.2</v>
      </c>
      <c r="N25" s="189" t="n">
        <v>0.16</v>
      </c>
      <c r="O25" s="189" t="n">
        <v>0.12</v>
      </c>
    </row>
    <row r="26" customFormat="false" ht="14.9" hidden="false" customHeight="false" outlineLevel="0" collapsed="false">
      <c r="B26" s="189" t="s">
        <v>259</v>
      </c>
      <c r="C26" s="190" t="n">
        <v>0.3</v>
      </c>
      <c r="D26" s="189" t="n">
        <v>0.57</v>
      </c>
      <c r="E26" s="189" t="n">
        <v>0.74</v>
      </c>
      <c r="F26" s="189" t="n">
        <v>0.81</v>
      </c>
      <c r="G26" s="189" t="n">
        <v>0.79</v>
      </c>
      <c r="H26" s="189" t="n">
        <v>0.68</v>
      </c>
      <c r="I26" s="189" t="n">
        <v>0.49</v>
      </c>
      <c r="J26" s="189" t="n">
        <v>0.33</v>
      </c>
      <c r="K26" s="189" t="n">
        <v>0.28</v>
      </c>
      <c r="L26" s="189" t="n">
        <v>0.25</v>
      </c>
      <c r="M26" s="189" t="n">
        <v>0.22</v>
      </c>
      <c r="N26" s="189" t="n">
        <v>0.18</v>
      </c>
      <c r="O26" s="189" t="n">
        <v>0.13</v>
      </c>
    </row>
    <row r="27" customFormat="false" ht="14.9" hidden="false" customHeight="false" outlineLevel="0" collapsed="false">
      <c r="B27" s="189" t="s">
        <v>260</v>
      </c>
      <c r="C27" s="190" t="n">
        <v>0.09</v>
      </c>
      <c r="D27" s="189" t="n">
        <v>0.16</v>
      </c>
      <c r="E27" s="189" t="n">
        <v>0.23</v>
      </c>
      <c r="F27" s="189" t="n">
        <v>0.38</v>
      </c>
      <c r="G27" s="189" t="n">
        <v>0.58</v>
      </c>
      <c r="H27" s="189" t="n">
        <v>0.75</v>
      </c>
      <c r="I27" s="189" t="n">
        <v>0.83</v>
      </c>
      <c r="J27" s="189" t="n">
        <v>0.8</v>
      </c>
      <c r="K27" s="189" t="n">
        <v>0.68</v>
      </c>
      <c r="L27" s="189" t="n">
        <v>0.5</v>
      </c>
      <c r="M27" s="189" t="n">
        <v>0.35</v>
      </c>
      <c r="N27" s="189" t="n">
        <v>0.27</v>
      </c>
      <c r="O27" s="189" t="n">
        <v>0.19</v>
      </c>
    </row>
    <row r="28" customFormat="false" ht="14.9" hidden="false" customHeight="false" outlineLevel="0" collapsed="false">
      <c r="B28" s="189" t="s">
        <v>261</v>
      </c>
      <c r="C28" s="190" t="n">
        <v>0.07</v>
      </c>
      <c r="D28" s="189" t="n">
        <v>0.11</v>
      </c>
      <c r="E28" s="189" t="n">
        <v>0.14</v>
      </c>
      <c r="F28" s="189" t="n">
        <v>0.16</v>
      </c>
      <c r="G28" s="189" t="n">
        <v>0.19</v>
      </c>
      <c r="H28" s="189" t="n">
        <v>0.22</v>
      </c>
      <c r="I28" s="189" t="n">
        <v>0.38</v>
      </c>
      <c r="J28" s="189" t="n">
        <v>0.59</v>
      </c>
      <c r="K28" s="189" t="n">
        <v>0.75</v>
      </c>
      <c r="L28" s="189" t="n">
        <v>0.83</v>
      </c>
      <c r="M28" s="189" t="n">
        <v>0.81</v>
      </c>
      <c r="N28" s="189" t="n">
        <v>0.69</v>
      </c>
      <c r="O28" s="189" t="n">
        <v>0.45</v>
      </c>
    </row>
    <row r="29" customFormat="false" ht="14.9" hidden="false" customHeight="false" outlineLevel="0" collapsed="false">
      <c r="B29" s="189" t="s">
        <v>262</v>
      </c>
      <c r="C29" s="190" t="n">
        <v>0.06</v>
      </c>
      <c r="D29" s="189" t="n">
        <v>0.09</v>
      </c>
      <c r="E29" s="189" t="n">
        <v>0.11</v>
      </c>
      <c r="F29" s="189" t="n">
        <v>0.13</v>
      </c>
      <c r="G29" s="189" t="n">
        <v>0.15</v>
      </c>
      <c r="H29" s="189" t="n">
        <v>0.16</v>
      </c>
      <c r="I29" s="189" t="n">
        <v>0.17</v>
      </c>
      <c r="J29" s="189" t="n">
        <v>0.31</v>
      </c>
      <c r="K29" s="189" t="n">
        <v>0.53</v>
      </c>
      <c r="L29" s="189" t="n">
        <v>0.72</v>
      </c>
      <c r="M29" s="189" t="n">
        <v>0.82</v>
      </c>
      <c r="N29" s="189" t="n">
        <v>0.81</v>
      </c>
      <c r="O29" s="189" t="n">
        <v>0.61</v>
      </c>
    </row>
    <row r="30" customFormat="false" ht="14.9" hidden="false" customHeight="false" outlineLevel="0" collapsed="false">
      <c r="B30" s="189" t="s">
        <v>263</v>
      </c>
      <c r="C30" s="190" t="n">
        <v>0.07</v>
      </c>
      <c r="D30" s="190" t="n">
        <v>0.11</v>
      </c>
      <c r="E30" s="190" t="n">
        <v>0.14</v>
      </c>
      <c r="F30" s="190" t="n">
        <v>0.17</v>
      </c>
      <c r="G30" s="190" t="n">
        <v>0.19</v>
      </c>
      <c r="H30" s="190" t="n">
        <v>0.2</v>
      </c>
      <c r="I30" s="190" t="n">
        <v>0.21</v>
      </c>
      <c r="J30" s="190" t="n">
        <v>0.22</v>
      </c>
      <c r="K30" s="190" t="n">
        <v>0.3</v>
      </c>
      <c r="L30" s="190" t="n">
        <v>0.52</v>
      </c>
      <c r="M30" s="190" t="n">
        <v>0.73</v>
      </c>
      <c r="N30" s="190" t="n">
        <v>0.82</v>
      </c>
      <c r="O30" s="190" t="n">
        <v>0.69</v>
      </c>
    </row>
    <row r="31" customFormat="false" ht="14.9" hidden="false" customHeight="false" outlineLevel="0" collapsed="false">
      <c r="B31" s="189" t="s">
        <v>264</v>
      </c>
      <c r="C31" s="190" t="n">
        <v>0.12</v>
      </c>
      <c r="D31" s="190" t="n">
        <v>0.27</v>
      </c>
      <c r="E31" s="190" t="n">
        <v>0.44</v>
      </c>
      <c r="F31" s="190" t="n">
        <v>0.59</v>
      </c>
      <c r="G31" s="190" t="n">
        <v>0.72</v>
      </c>
      <c r="H31" s="190" t="n">
        <v>0.81</v>
      </c>
      <c r="I31" s="190" t="n">
        <v>0.85</v>
      </c>
      <c r="J31" s="190" t="n">
        <v>0.85</v>
      </c>
      <c r="K31" s="190" t="n">
        <v>0.81</v>
      </c>
      <c r="L31" s="190" t="n">
        <v>0.71</v>
      </c>
      <c r="M31" s="190" t="n">
        <v>0.58</v>
      </c>
      <c r="N31" s="190" t="n">
        <v>0.42</v>
      </c>
      <c r="O31" s="190" t="n">
        <v>0.25</v>
      </c>
    </row>
    <row r="32" customFormat="false" ht="12.8" hidden="false" customHeight="false" outlineLevel="0" collapsed="false">
      <c r="K32" s="191"/>
      <c r="L32" s="192"/>
    </row>
    <row r="33" customFormat="false" ht="12.8" hidden="false" customHeight="false" outlineLevel="0" collapsed="false">
      <c r="K33" s="191"/>
      <c r="L33" s="192"/>
    </row>
    <row r="34" s="175" customFormat="true" ht="14.9" hidden="false" customHeight="false" outlineLevel="0" collapsed="false">
      <c r="A34" s="174" t="s">
        <v>207</v>
      </c>
      <c r="B34" s="173" t="s">
        <v>267</v>
      </c>
    </row>
    <row r="35" customFormat="false" ht="15.5" hidden="false" customHeight="true" outlineLevel="0" collapsed="false">
      <c r="D35" s="176" t="s">
        <v>97</v>
      </c>
      <c r="E35" s="176"/>
      <c r="F35" s="176"/>
      <c r="G35" s="176" t="s">
        <v>107</v>
      </c>
      <c r="H35" s="176"/>
      <c r="I35" s="176"/>
      <c r="K35" s="193"/>
      <c r="L35" s="193"/>
    </row>
    <row r="36" s="175" customFormat="true" ht="28.7" hidden="false" customHeight="false" outlineLevel="0" collapsed="false">
      <c r="A36" s="174"/>
      <c r="B36" s="177" t="s">
        <v>251</v>
      </c>
      <c r="C36" s="194" t="s">
        <v>268</v>
      </c>
      <c r="D36" s="178" t="s">
        <v>269</v>
      </c>
      <c r="E36" s="177" t="s">
        <v>270</v>
      </c>
      <c r="F36" s="177" t="s">
        <v>271</v>
      </c>
      <c r="G36" s="178" t="s">
        <v>272</v>
      </c>
      <c r="H36" s="177" t="s">
        <v>270</v>
      </c>
      <c r="I36" s="177" t="s">
        <v>271</v>
      </c>
      <c r="K36" s="195"/>
      <c r="L36" s="195"/>
    </row>
    <row r="37" s="183" customFormat="true" ht="14.9" hidden="false" customHeight="false" outlineLevel="0" collapsed="false">
      <c r="A37" s="180"/>
      <c r="B37" s="181"/>
      <c r="C37" s="177" t="s">
        <v>273</v>
      </c>
      <c r="D37" s="177" t="s">
        <v>273</v>
      </c>
      <c r="E37" s="177"/>
      <c r="F37" s="181" t="s">
        <v>274</v>
      </c>
      <c r="G37" s="177" t="s">
        <v>273</v>
      </c>
      <c r="H37" s="177"/>
      <c r="I37" s="181" t="s">
        <v>274</v>
      </c>
      <c r="K37" s="195"/>
      <c r="L37" s="195"/>
    </row>
    <row r="38" s="183" customFormat="true" ht="12.8" hidden="false" customHeight="false" outlineLevel="0" collapsed="false">
      <c r="A38" s="180"/>
      <c r="B38" s="181"/>
      <c r="C38" s="181"/>
      <c r="D38" s="196"/>
      <c r="E38" s="181"/>
      <c r="F38" s="181"/>
      <c r="G38" s="181"/>
      <c r="H38" s="181"/>
      <c r="I38" s="181"/>
      <c r="K38" s="195"/>
      <c r="L38" s="195"/>
    </row>
    <row r="39" s="175" customFormat="true" ht="14.9" hidden="false" customHeight="false" outlineLevel="0" collapsed="false">
      <c r="A39" s="174"/>
      <c r="B39" s="184" t="s">
        <v>264</v>
      </c>
      <c r="C39" s="197" t="n">
        <v>53</v>
      </c>
      <c r="D39" s="185" t="n">
        <v>-2</v>
      </c>
      <c r="E39" s="197" t="n">
        <v>0.9</v>
      </c>
      <c r="F39" s="198" t="n">
        <f aca="false">ROUND((C39+D39)*5/9*E39,1)</f>
        <v>25.5</v>
      </c>
      <c r="G39" s="185" t="n">
        <v>-4</v>
      </c>
      <c r="H39" s="197" t="n">
        <v>0.9</v>
      </c>
      <c r="I39" s="198" t="n">
        <f aca="false">ROUND((C39+G39)*5/9*H39,1)</f>
        <v>24.5</v>
      </c>
      <c r="K39" s="195"/>
      <c r="L39" s="195"/>
    </row>
    <row r="40" customFormat="false" ht="14.9" hidden="false" customHeight="true" outlineLevel="0" collapsed="false"/>
    <row r="41" s="175" customFormat="true" ht="14.9" hidden="false" customHeight="false" outlineLevel="0" collapsed="false">
      <c r="A41" s="174" t="s">
        <v>209</v>
      </c>
      <c r="B41" s="173" t="s">
        <v>275</v>
      </c>
    </row>
    <row r="42" customFormat="false" ht="14.9" hidden="false" customHeight="true" outlineLevel="0" collapsed="false">
      <c r="D42" s="176" t="s">
        <v>97</v>
      </c>
      <c r="E42" s="176"/>
      <c r="F42" s="176"/>
      <c r="G42" s="176" t="s">
        <v>107</v>
      </c>
      <c r="H42" s="176"/>
      <c r="I42" s="176"/>
    </row>
    <row r="43" s="175" customFormat="true" ht="28.7" hidden="false" customHeight="false" outlineLevel="0" collapsed="false">
      <c r="A43" s="174"/>
      <c r="B43" s="177" t="s">
        <v>251</v>
      </c>
      <c r="C43" s="194" t="s">
        <v>276</v>
      </c>
      <c r="D43" s="178" t="s">
        <v>269</v>
      </c>
      <c r="E43" s="177" t="s">
        <v>270</v>
      </c>
      <c r="F43" s="177" t="s">
        <v>277</v>
      </c>
      <c r="G43" s="178" t="s">
        <v>272</v>
      </c>
      <c r="H43" s="177" t="s">
        <v>270</v>
      </c>
      <c r="I43" s="177" t="s">
        <v>277</v>
      </c>
    </row>
    <row r="44" s="183" customFormat="true" ht="14.9" hidden="false" customHeight="false" outlineLevel="0" collapsed="false">
      <c r="A44" s="180"/>
      <c r="B44" s="181"/>
      <c r="C44" s="177" t="s">
        <v>273</v>
      </c>
      <c r="D44" s="177" t="s">
        <v>273</v>
      </c>
      <c r="E44" s="177"/>
      <c r="F44" s="181" t="s">
        <v>274</v>
      </c>
      <c r="G44" s="177" t="s">
        <v>273</v>
      </c>
      <c r="H44" s="177"/>
      <c r="I44" s="181" t="s">
        <v>274</v>
      </c>
    </row>
    <row r="45" s="175" customFormat="true" ht="12.8" hidden="false" customHeight="false" outlineLevel="0" collapsed="false">
      <c r="A45" s="174"/>
      <c r="B45" s="177"/>
      <c r="C45" s="177"/>
      <c r="D45" s="177"/>
      <c r="E45" s="177"/>
      <c r="F45" s="177"/>
      <c r="G45" s="177"/>
      <c r="H45" s="177"/>
      <c r="I45" s="177"/>
    </row>
    <row r="46" customFormat="false" ht="14.9" hidden="false" customHeight="false" outlineLevel="0" collapsed="false">
      <c r="B46" s="184" t="s">
        <v>257</v>
      </c>
      <c r="C46" s="197" t="n">
        <v>15</v>
      </c>
      <c r="D46" s="185" t="n">
        <v>9</v>
      </c>
      <c r="E46" s="197" t="n">
        <v>0.7</v>
      </c>
      <c r="F46" s="186" t="n">
        <f aca="false">ROUND((C46+D46)*5/9*E46,1)</f>
        <v>9.3</v>
      </c>
      <c r="G46" s="185" t="n">
        <v>-3</v>
      </c>
      <c r="H46" s="197" t="n">
        <v>0.7</v>
      </c>
      <c r="I46" s="186" t="n">
        <f aca="false">ROUND((C46+G46)*5/9*H46,1)</f>
        <v>4.7</v>
      </c>
    </row>
    <row r="47" customFormat="false" ht="14.9" hidden="false" customHeight="false" outlineLevel="0" collapsed="false">
      <c r="B47" s="184" t="s">
        <v>258</v>
      </c>
      <c r="C47" s="197" t="n">
        <v>21</v>
      </c>
      <c r="D47" s="185" t="n">
        <v>4</v>
      </c>
      <c r="E47" s="197" t="n">
        <v>0.7</v>
      </c>
      <c r="F47" s="186" t="n">
        <f aca="false">ROUND((C47+D47)*5/9*E47,1)</f>
        <v>9.7</v>
      </c>
      <c r="G47" s="185" t="n">
        <v>-6</v>
      </c>
      <c r="H47" s="197" t="n">
        <v>0.7</v>
      </c>
      <c r="I47" s="186" t="n">
        <f aca="false">ROUND((C47+G47)*5/9*H47,1)</f>
        <v>5.8</v>
      </c>
    </row>
    <row r="48" customFormat="false" ht="14.9" hidden="false" customHeight="false" outlineLevel="0" collapsed="false">
      <c r="B48" s="184" t="s">
        <v>190</v>
      </c>
      <c r="C48" s="197" t="n">
        <v>27</v>
      </c>
      <c r="D48" s="185" t="n">
        <v>-2</v>
      </c>
      <c r="E48" s="197" t="n">
        <v>0.7</v>
      </c>
      <c r="F48" s="186" t="n">
        <f aca="false">ROUND((C48+D48)*5/9*E48,1)</f>
        <v>9.7</v>
      </c>
      <c r="G48" s="185" t="n">
        <v>-2</v>
      </c>
      <c r="H48" s="197" t="n">
        <v>0.7</v>
      </c>
      <c r="I48" s="186" t="n">
        <f aca="false">ROUND((C48+G48)*5/9*H48,1)</f>
        <v>9.7</v>
      </c>
    </row>
    <row r="49" customFormat="false" ht="14.9" hidden="false" customHeight="false" outlineLevel="0" collapsed="false">
      <c r="B49" s="184" t="s">
        <v>259</v>
      </c>
      <c r="C49" s="197" t="n">
        <v>26</v>
      </c>
      <c r="D49" s="185" t="n">
        <v>-8</v>
      </c>
      <c r="E49" s="197" t="n">
        <v>0.7</v>
      </c>
      <c r="F49" s="186" t="n">
        <f aca="false">ROUND((C49+D49)*5/9*E49,1)</f>
        <v>7</v>
      </c>
      <c r="G49" s="185" t="n">
        <v>3</v>
      </c>
      <c r="H49" s="197" t="n">
        <v>0.7</v>
      </c>
      <c r="I49" s="186" t="n">
        <f aca="false">ROUND((C49+G49)*5/9*H49,1)</f>
        <v>11.3</v>
      </c>
    </row>
    <row r="50" customFormat="false" ht="14.9" hidden="false" customHeight="false" outlineLevel="0" collapsed="false">
      <c r="B50" s="184" t="s">
        <v>260</v>
      </c>
      <c r="C50" s="197" t="n">
        <v>22</v>
      </c>
      <c r="D50" s="185" t="n">
        <v>-7</v>
      </c>
      <c r="E50" s="197" t="n">
        <v>0.7</v>
      </c>
      <c r="F50" s="186" t="n">
        <f aca="false">ROUND((C50+D50)*5/9*E50,1)</f>
        <v>5.8</v>
      </c>
      <c r="G50" s="185" t="n">
        <v>10</v>
      </c>
      <c r="H50" s="197" t="n">
        <v>0.7</v>
      </c>
      <c r="I50" s="186" t="n">
        <f aca="false">ROUND((C50+G50)*5/9*H50,1)</f>
        <v>12.4</v>
      </c>
    </row>
    <row r="51" customFormat="false" ht="14.9" hidden="false" customHeight="false" outlineLevel="0" collapsed="false">
      <c r="B51" s="184" t="s">
        <v>261</v>
      </c>
      <c r="C51" s="197" t="n">
        <v>28</v>
      </c>
      <c r="D51" s="185" t="n">
        <v>-8</v>
      </c>
      <c r="E51" s="197" t="n">
        <v>0.7</v>
      </c>
      <c r="F51" s="186" t="n">
        <f aca="false">ROUND((C51+D51)*5/9*E51,1)</f>
        <v>7.8</v>
      </c>
      <c r="G51" s="185" t="n">
        <v>3</v>
      </c>
      <c r="H51" s="197" t="n">
        <v>0.7</v>
      </c>
      <c r="I51" s="186" t="n">
        <f aca="false">ROUND((C51+G51)*5/9*H51,1)</f>
        <v>12.1</v>
      </c>
    </row>
    <row r="52" customFormat="false" ht="14.9" hidden="false" customHeight="false" outlineLevel="0" collapsed="false">
      <c r="B52" s="184" t="s">
        <v>262</v>
      </c>
      <c r="C52" s="197" t="n">
        <v>30</v>
      </c>
      <c r="D52" s="185" t="n">
        <v>-2</v>
      </c>
      <c r="E52" s="197" t="n">
        <v>0.7</v>
      </c>
      <c r="F52" s="186" t="n">
        <f aca="false">ROUND((C52+D52)*5/9*E52,1)</f>
        <v>10.9</v>
      </c>
      <c r="G52" s="185" t="n">
        <v>-2</v>
      </c>
      <c r="H52" s="197" t="n">
        <v>0.7</v>
      </c>
      <c r="I52" s="186" t="n">
        <f aca="false">ROUND((C52+G52)*5/9*H52,1)</f>
        <v>10.9</v>
      </c>
    </row>
    <row r="53" customFormat="false" ht="14.9" hidden="false" customHeight="false" outlineLevel="0" collapsed="false">
      <c r="B53" s="184" t="s">
        <v>263</v>
      </c>
      <c r="C53" s="197" t="n">
        <v>23</v>
      </c>
      <c r="D53" s="185" t="n">
        <v>4</v>
      </c>
      <c r="E53" s="197" t="n">
        <v>0.7</v>
      </c>
      <c r="F53" s="186" t="n">
        <f aca="false">ROUND((C53+D53)*5/9*E53,1)</f>
        <v>10.5</v>
      </c>
      <c r="G53" s="185" t="n">
        <v>-6</v>
      </c>
      <c r="H53" s="197" t="n">
        <v>0.7</v>
      </c>
      <c r="I53" s="186" t="n">
        <f aca="false">ROUND((C53+G53)*5/9*H53,1)</f>
        <v>6.6</v>
      </c>
    </row>
    <row r="55" s="175" customFormat="true" ht="14.9" hidden="false" customHeight="false" outlineLevel="0" collapsed="false">
      <c r="A55" s="174" t="s">
        <v>213</v>
      </c>
      <c r="B55" s="173" t="s">
        <v>278</v>
      </c>
    </row>
    <row r="56" customFormat="false" ht="14.9" hidden="false" customHeight="true" outlineLevel="0" collapsed="false">
      <c r="D56" s="175"/>
      <c r="E56" s="175"/>
      <c r="F56" s="175"/>
      <c r="G56" s="175"/>
      <c r="H56" s="175"/>
      <c r="I56" s="175"/>
    </row>
    <row r="57" s="175" customFormat="true" ht="15.5" hidden="false" customHeight="true" outlineLevel="0" collapsed="false">
      <c r="A57" s="174"/>
      <c r="B57" s="187" t="s">
        <v>251</v>
      </c>
      <c r="C57" s="176" t="s">
        <v>266</v>
      </c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</row>
    <row r="58" s="180" customFormat="true" ht="14.9" hidden="false" customHeight="false" outlineLevel="0" collapsed="false">
      <c r="B58" s="188"/>
      <c r="C58" s="188" t="n">
        <v>6</v>
      </c>
      <c r="D58" s="188" t="n">
        <v>7</v>
      </c>
      <c r="E58" s="188" t="n">
        <v>8</v>
      </c>
      <c r="F58" s="188" t="n">
        <v>9</v>
      </c>
      <c r="G58" s="188" t="n">
        <v>10</v>
      </c>
      <c r="H58" s="188" t="n">
        <v>11</v>
      </c>
      <c r="I58" s="188" t="n">
        <v>12</v>
      </c>
      <c r="J58" s="188" t="n">
        <v>13</v>
      </c>
      <c r="K58" s="188" t="n">
        <v>14</v>
      </c>
      <c r="L58" s="188" t="n">
        <v>15</v>
      </c>
      <c r="M58" s="188" t="n">
        <v>16</v>
      </c>
      <c r="N58" s="188" t="n">
        <v>17</v>
      </c>
      <c r="O58" s="188" t="n">
        <v>18</v>
      </c>
    </row>
    <row r="59" s="175" customFormat="true" ht="12.8" hidden="false" customHeight="false" outlineLevel="0" collapsed="false">
      <c r="A59" s="174"/>
      <c r="B59" s="187"/>
      <c r="C59" s="189"/>
      <c r="D59" s="189"/>
      <c r="E59" s="189"/>
      <c r="F59" s="189"/>
      <c r="G59" s="187"/>
      <c r="H59" s="187"/>
      <c r="I59" s="187"/>
      <c r="J59" s="187"/>
      <c r="K59" s="187"/>
      <c r="L59" s="187"/>
      <c r="M59" s="187"/>
      <c r="N59" s="187"/>
      <c r="O59" s="187"/>
    </row>
    <row r="60" customFormat="false" ht="14.9" hidden="false" customHeight="false" outlineLevel="0" collapsed="false">
      <c r="B60" s="189" t="s">
        <v>279</v>
      </c>
      <c r="C60" s="199" t="n">
        <v>-2</v>
      </c>
      <c r="D60" s="199" t="n">
        <v>-2</v>
      </c>
      <c r="E60" s="199" t="n">
        <v>0</v>
      </c>
      <c r="F60" s="199" t="n">
        <v>2</v>
      </c>
      <c r="G60" s="199" t="n">
        <v>4</v>
      </c>
      <c r="H60" s="199" t="n">
        <v>7</v>
      </c>
      <c r="I60" s="199" t="n">
        <v>9</v>
      </c>
      <c r="J60" s="199" t="n">
        <v>12</v>
      </c>
      <c r="K60" s="199" t="n">
        <v>13</v>
      </c>
      <c r="L60" s="199" t="n">
        <v>14</v>
      </c>
      <c r="M60" s="199" t="n">
        <v>14</v>
      </c>
      <c r="N60" s="199" t="n">
        <v>13</v>
      </c>
      <c r="O60" s="199" t="n">
        <v>12</v>
      </c>
    </row>
    <row r="61" customFormat="false" ht="14.9" hidden="false" customHeight="false" outlineLevel="0" collapsed="false">
      <c r="B61" s="189" t="s">
        <v>280</v>
      </c>
      <c r="C61" s="200" t="n">
        <f aca="false">ROUND(C60*5/9,1)</f>
        <v>-1.1</v>
      </c>
      <c r="D61" s="200" t="n">
        <f aca="false">ROUND(D60*5/9,1)</f>
        <v>-1.1</v>
      </c>
      <c r="E61" s="200" t="n">
        <f aca="false">ROUND(E60*5/9,1)</f>
        <v>0</v>
      </c>
      <c r="F61" s="200" t="n">
        <f aca="false">ROUND(F60*5/9,1)</f>
        <v>1.1</v>
      </c>
      <c r="G61" s="200" t="n">
        <f aca="false">ROUND(G60*5/9,1)</f>
        <v>2.2</v>
      </c>
      <c r="H61" s="200" t="n">
        <f aca="false">ROUND(H60*5/9,1)</f>
        <v>3.9</v>
      </c>
      <c r="I61" s="200" t="n">
        <f aca="false">ROUND(I60*5/9,1)</f>
        <v>5</v>
      </c>
      <c r="J61" s="200" t="n">
        <f aca="false">ROUND(J60*5/9,1)</f>
        <v>6.7</v>
      </c>
      <c r="K61" s="200" t="n">
        <f aca="false">ROUND(K60*5/9,1)</f>
        <v>7.2</v>
      </c>
      <c r="L61" s="200" t="n">
        <f aca="false">ROUND(L60*5/9,1)</f>
        <v>7.8</v>
      </c>
      <c r="M61" s="200" t="n">
        <f aca="false">ROUND(M60*5/9,1)</f>
        <v>7.8</v>
      </c>
      <c r="N61" s="200" t="n">
        <f aca="false">ROUND(N60*5/9,1)</f>
        <v>7.2</v>
      </c>
      <c r="O61" s="200" t="n">
        <f aca="false">ROUND(O60*5/9,1)</f>
        <v>6.7</v>
      </c>
    </row>
    <row r="63" s="175" customFormat="true" ht="14.9" hidden="false" customHeight="false" outlineLevel="0" collapsed="false">
      <c r="A63" s="174" t="s">
        <v>215</v>
      </c>
      <c r="B63" s="175" t="s">
        <v>281</v>
      </c>
    </row>
    <row r="65" customFormat="false" ht="14.9" hidden="false" customHeight="false" outlineLevel="0" collapsed="false">
      <c r="B65" s="175" t="s">
        <v>282</v>
      </c>
    </row>
    <row r="66" customFormat="false" ht="15" hidden="false" customHeight="true" outlineLevel="0" collapsed="false">
      <c r="B66" s="201" t="s">
        <v>283</v>
      </c>
      <c r="C66" s="201" t="s">
        <v>284</v>
      </c>
      <c r="D66" s="202" t="s">
        <v>285</v>
      </c>
      <c r="E66" s="203" t="s">
        <v>286</v>
      </c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</row>
    <row r="67" customFormat="false" ht="14.9" hidden="false" customHeight="false" outlineLevel="0" collapsed="false">
      <c r="B67" s="201"/>
      <c r="C67" s="201"/>
      <c r="D67" s="202"/>
      <c r="E67" s="204" t="n">
        <v>28</v>
      </c>
      <c r="F67" s="204"/>
      <c r="G67" s="204" t="n">
        <v>27</v>
      </c>
      <c r="H67" s="204"/>
      <c r="I67" s="204" t="n">
        <v>26</v>
      </c>
      <c r="J67" s="204"/>
      <c r="K67" s="204" t="n">
        <v>24</v>
      </c>
      <c r="L67" s="204"/>
      <c r="M67" s="204" t="n">
        <v>22</v>
      </c>
      <c r="N67" s="204"/>
      <c r="O67" s="204" t="n">
        <v>20</v>
      </c>
      <c r="P67" s="204"/>
    </row>
    <row r="68" customFormat="false" ht="15.75" hidden="false" customHeight="true" outlineLevel="0" collapsed="false">
      <c r="B68" s="201"/>
      <c r="C68" s="201"/>
      <c r="D68" s="202"/>
      <c r="E68" s="201" t="s">
        <v>287</v>
      </c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</row>
    <row r="69" customFormat="false" ht="15.75" hidden="false" customHeight="true" outlineLevel="0" collapsed="false">
      <c r="B69" s="201"/>
      <c r="C69" s="201"/>
      <c r="D69" s="202"/>
      <c r="E69" s="201" t="s">
        <v>288</v>
      </c>
      <c r="F69" s="201" t="s">
        <v>289</v>
      </c>
      <c r="G69" s="201" t="s">
        <v>288</v>
      </c>
      <c r="H69" s="201" t="s">
        <v>289</v>
      </c>
      <c r="I69" s="201" t="s">
        <v>288</v>
      </c>
      <c r="J69" s="201" t="s">
        <v>289</v>
      </c>
      <c r="K69" s="201" t="s">
        <v>288</v>
      </c>
      <c r="L69" s="201" t="s">
        <v>289</v>
      </c>
      <c r="M69" s="201" t="s">
        <v>288</v>
      </c>
      <c r="N69" s="201" t="s">
        <v>289</v>
      </c>
      <c r="O69" s="201" t="s">
        <v>288</v>
      </c>
      <c r="P69" s="201" t="s">
        <v>289</v>
      </c>
    </row>
    <row r="70" customFormat="false" ht="12.8" hidden="false" customHeight="false" outlineLevel="0" collapsed="false"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</row>
    <row r="71" customFormat="false" ht="14.9" hidden="false" customHeight="false" outlineLevel="0" collapsed="false">
      <c r="B71" s="184" t="s">
        <v>290</v>
      </c>
      <c r="C71" s="184" t="s">
        <v>291</v>
      </c>
      <c r="D71" s="184" t="n">
        <v>100</v>
      </c>
      <c r="E71" s="184" t="n">
        <v>50</v>
      </c>
      <c r="F71" s="184" t="n">
        <v>50</v>
      </c>
      <c r="G71" s="184" t="n">
        <v>55</v>
      </c>
      <c r="H71" s="184" t="n">
        <v>45</v>
      </c>
      <c r="I71" s="184" t="n">
        <v>60</v>
      </c>
      <c r="J71" s="184" t="n">
        <v>40</v>
      </c>
      <c r="K71" s="184" t="n">
        <v>67</v>
      </c>
      <c r="L71" s="184" t="n">
        <v>33</v>
      </c>
      <c r="M71" s="184" t="n">
        <v>72</v>
      </c>
      <c r="N71" s="184" t="n">
        <v>28</v>
      </c>
      <c r="O71" s="184" t="n">
        <v>79</v>
      </c>
      <c r="P71" s="184" t="n">
        <v>21</v>
      </c>
    </row>
    <row r="72" customFormat="false" ht="14.9" hidden="false" customHeight="false" outlineLevel="0" collapsed="false">
      <c r="B72" s="184" t="s">
        <v>292</v>
      </c>
      <c r="C72" s="184" t="s">
        <v>293</v>
      </c>
      <c r="D72" s="184" t="n">
        <v>120</v>
      </c>
      <c r="E72" s="184" t="n">
        <v>50</v>
      </c>
      <c r="F72" s="184" t="n">
        <v>70</v>
      </c>
      <c r="G72" s="184" t="n">
        <v>55</v>
      </c>
      <c r="H72" s="184" t="n">
        <v>65</v>
      </c>
      <c r="I72" s="184" t="n">
        <v>60</v>
      </c>
      <c r="J72" s="184" t="n">
        <v>60</v>
      </c>
      <c r="K72" s="184" t="n">
        <v>70</v>
      </c>
      <c r="L72" s="184" t="n">
        <v>50</v>
      </c>
      <c r="M72" s="184" t="n">
        <v>78</v>
      </c>
      <c r="N72" s="184" t="n">
        <v>42</v>
      </c>
      <c r="O72" s="184" t="n">
        <v>84</v>
      </c>
      <c r="P72" s="184" t="n">
        <v>36</v>
      </c>
    </row>
    <row r="73" customFormat="false" ht="14.9" hidden="false" customHeight="false" outlineLevel="0" collapsed="false">
      <c r="B73" s="184" t="s">
        <v>294</v>
      </c>
      <c r="C73" s="184" t="s">
        <v>295</v>
      </c>
      <c r="D73" s="184" t="n">
        <v>130</v>
      </c>
      <c r="E73" s="184" t="n">
        <v>50</v>
      </c>
      <c r="F73" s="184" t="n">
        <v>80</v>
      </c>
      <c r="G73" s="184" t="n">
        <v>56</v>
      </c>
      <c r="H73" s="184" t="n">
        <v>74</v>
      </c>
      <c r="I73" s="184" t="n">
        <v>60</v>
      </c>
      <c r="J73" s="184" t="n">
        <v>70</v>
      </c>
      <c r="K73" s="184" t="n">
        <v>70</v>
      </c>
      <c r="L73" s="184" t="n">
        <v>60</v>
      </c>
      <c r="M73" s="184" t="n">
        <v>78</v>
      </c>
      <c r="N73" s="184" t="n">
        <v>52</v>
      </c>
      <c r="O73" s="184" t="n">
        <v>86</v>
      </c>
      <c r="P73" s="184" t="n">
        <v>44</v>
      </c>
    </row>
    <row r="74" customFormat="false" ht="14.9" hidden="false" customHeight="false" outlineLevel="0" collapsed="false">
      <c r="B74" s="184" t="s">
        <v>296</v>
      </c>
      <c r="C74" s="184" t="s">
        <v>297</v>
      </c>
      <c r="D74" s="184" t="n">
        <v>130</v>
      </c>
      <c r="E74" s="184" t="n">
        <v>50</v>
      </c>
      <c r="F74" s="184" t="n">
        <v>80</v>
      </c>
      <c r="G74" s="184" t="n">
        <v>56</v>
      </c>
      <c r="H74" s="184" t="n">
        <v>74</v>
      </c>
      <c r="I74" s="184" t="n">
        <v>60</v>
      </c>
      <c r="J74" s="184" t="n">
        <v>70</v>
      </c>
      <c r="K74" s="184" t="n">
        <v>70</v>
      </c>
      <c r="L74" s="184" t="n">
        <v>60</v>
      </c>
      <c r="M74" s="184" t="n">
        <v>78</v>
      </c>
      <c r="N74" s="184" t="n">
        <v>52</v>
      </c>
      <c r="O74" s="184" t="n">
        <v>86</v>
      </c>
      <c r="P74" s="184" t="n">
        <v>44</v>
      </c>
    </row>
    <row r="75" customFormat="false" ht="14.9" hidden="false" customHeight="false" outlineLevel="0" collapsed="false">
      <c r="B75" s="184" t="s">
        <v>298</v>
      </c>
      <c r="C75" s="184"/>
      <c r="D75" s="184" t="n">
        <v>150</v>
      </c>
      <c r="E75" s="184" t="n">
        <v>53</v>
      </c>
      <c r="F75" s="184" t="n">
        <v>97</v>
      </c>
      <c r="G75" s="184" t="n">
        <v>58</v>
      </c>
      <c r="H75" s="184" t="n">
        <v>92</v>
      </c>
      <c r="I75" s="184" t="n">
        <v>64</v>
      </c>
      <c r="J75" s="184" t="n">
        <v>86</v>
      </c>
      <c r="K75" s="184" t="n">
        <v>76</v>
      </c>
      <c r="L75" s="184" t="n">
        <v>74</v>
      </c>
      <c r="M75" s="184" t="n">
        <v>84</v>
      </c>
      <c r="N75" s="184" t="n">
        <v>66</v>
      </c>
      <c r="O75" s="184" t="n">
        <v>90</v>
      </c>
      <c r="P75" s="184" t="n">
        <v>60</v>
      </c>
    </row>
    <row r="76" customFormat="false" ht="14.9" hidden="false" customHeight="false" outlineLevel="0" collapsed="false">
      <c r="B76" s="184" t="s">
        <v>299</v>
      </c>
      <c r="C76" s="184" t="s">
        <v>300</v>
      </c>
      <c r="D76" s="184" t="n">
        <v>160</v>
      </c>
      <c r="E76" s="184" t="n">
        <v>55</v>
      </c>
      <c r="F76" s="184" t="n">
        <v>105</v>
      </c>
      <c r="G76" s="184" t="n">
        <v>60</v>
      </c>
      <c r="H76" s="184" t="n">
        <v>100</v>
      </c>
      <c r="I76" s="184" t="n">
        <v>68</v>
      </c>
      <c r="J76" s="184" t="n">
        <v>92</v>
      </c>
      <c r="K76" s="184" t="n">
        <v>80</v>
      </c>
      <c r="L76" s="184" t="n">
        <v>80</v>
      </c>
      <c r="M76" s="184" t="n">
        <v>90</v>
      </c>
      <c r="N76" s="184" t="n">
        <v>70</v>
      </c>
      <c r="O76" s="184" t="n">
        <v>98</v>
      </c>
      <c r="P76" s="184" t="n">
        <v>62</v>
      </c>
    </row>
    <row r="77" customFormat="false" ht="14.9" hidden="false" customHeight="false" outlineLevel="0" collapsed="false">
      <c r="B77" s="184" t="s">
        <v>301</v>
      </c>
      <c r="C77" s="184" t="s">
        <v>302</v>
      </c>
      <c r="D77" s="184" t="n">
        <v>220</v>
      </c>
      <c r="E77" s="184" t="n">
        <v>55</v>
      </c>
      <c r="F77" s="184" t="n">
        <v>165</v>
      </c>
      <c r="G77" s="184" t="n">
        <v>52</v>
      </c>
      <c r="H77" s="184" t="n">
        <v>158</v>
      </c>
      <c r="I77" s="184" t="n">
        <v>70</v>
      </c>
      <c r="J77" s="184" t="n">
        <v>150</v>
      </c>
      <c r="K77" s="184" t="n">
        <v>85</v>
      </c>
      <c r="L77" s="184" t="n">
        <v>135</v>
      </c>
      <c r="M77" s="184" t="n">
        <v>100</v>
      </c>
      <c r="N77" s="184" t="n">
        <v>120</v>
      </c>
      <c r="O77" s="184" t="n">
        <v>115</v>
      </c>
      <c r="P77" s="184" t="n">
        <v>105</v>
      </c>
    </row>
    <row r="78" customFormat="false" ht="14.9" hidden="false" customHeight="false" outlineLevel="0" collapsed="false">
      <c r="B78" s="184" t="s">
        <v>303</v>
      </c>
      <c r="C78" s="184" t="s">
        <v>304</v>
      </c>
      <c r="D78" s="184" t="n">
        <v>250</v>
      </c>
      <c r="E78" s="184" t="n">
        <v>62</v>
      </c>
      <c r="F78" s="184" t="n">
        <v>188</v>
      </c>
      <c r="G78" s="184" t="n">
        <v>70</v>
      </c>
      <c r="H78" s="184" t="n">
        <v>180</v>
      </c>
      <c r="I78" s="184" t="n">
        <v>78</v>
      </c>
      <c r="J78" s="184" t="n">
        <v>172</v>
      </c>
      <c r="K78" s="184" t="n">
        <v>94</v>
      </c>
      <c r="L78" s="184" t="n">
        <v>156</v>
      </c>
      <c r="M78" s="184" t="n">
        <v>110</v>
      </c>
      <c r="N78" s="184" t="n">
        <v>140</v>
      </c>
      <c r="O78" s="184" t="n">
        <v>125</v>
      </c>
      <c r="P78" s="184" t="n">
        <v>125</v>
      </c>
    </row>
    <row r="79" customFormat="false" ht="14.9" hidden="false" customHeight="false" outlineLevel="0" collapsed="false">
      <c r="B79" s="184" t="s">
        <v>305</v>
      </c>
      <c r="C79" s="184" t="s">
        <v>306</v>
      </c>
      <c r="D79" s="184" t="n">
        <v>300</v>
      </c>
      <c r="E79" s="184" t="n">
        <v>80</v>
      </c>
      <c r="F79" s="184" t="n">
        <v>220</v>
      </c>
      <c r="G79" s="184" t="n">
        <v>88</v>
      </c>
      <c r="H79" s="184" t="n">
        <v>212</v>
      </c>
      <c r="I79" s="184" t="n">
        <v>96</v>
      </c>
      <c r="J79" s="184" t="n">
        <v>204</v>
      </c>
      <c r="K79" s="184" t="n">
        <v>110</v>
      </c>
      <c r="L79" s="184" t="n">
        <v>190</v>
      </c>
      <c r="M79" s="184" t="n">
        <v>130</v>
      </c>
      <c r="N79" s="184" t="n">
        <v>170</v>
      </c>
      <c r="O79" s="184" t="n">
        <v>145</v>
      </c>
      <c r="P79" s="184" t="n">
        <v>155</v>
      </c>
    </row>
    <row r="80" customFormat="false" ht="14.9" hidden="false" customHeight="false" outlineLevel="0" collapsed="false">
      <c r="B80" s="184" t="s">
        <v>307</v>
      </c>
      <c r="C80" s="184" t="s">
        <v>308</v>
      </c>
      <c r="D80" s="184" t="n">
        <v>430</v>
      </c>
      <c r="E80" s="184" t="n">
        <v>132</v>
      </c>
      <c r="F80" s="184" t="n">
        <v>298</v>
      </c>
      <c r="G80" s="184" t="n">
        <v>138</v>
      </c>
      <c r="H80" s="184" t="n">
        <v>292</v>
      </c>
      <c r="I80" s="184" t="n">
        <v>144</v>
      </c>
      <c r="J80" s="184" t="n">
        <v>286</v>
      </c>
      <c r="K80" s="184" t="n">
        <v>154</v>
      </c>
      <c r="L80" s="184" t="n">
        <v>276</v>
      </c>
      <c r="M80" s="184" t="n">
        <v>170</v>
      </c>
      <c r="N80" s="184" t="n">
        <v>260</v>
      </c>
      <c r="O80" s="184" t="n">
        <v>188</v>
      </c>
      <c r="P80" s="184" t="n">
        <v>242</v>
      </c>
    </row>
  </sheetData>
  <mergeCells count="19">
    <mergeCell ref="C4:D4"/>
    <mergeCell ref="E4:F4"/>
    <mergeCell ref="C20:O20"/>
    <mergeCell ref="D35:F35"/>
    <mergeCell ref="G35:I35"/>
    <mergeCell ref="D42:F42"/>
    <mergeCell ref="G42:I42"/>
    <mergeCell ref="C57:O57"/>
    <mergeCell ref="B66:B69"/>
    <mergeCell ref="C66:C69"/>
    <mergeCell ref="D66:D69"/>
    <mergeCell ref="E66:P66"/>
    <mergeCell ref="E67:F67"/>
    <mergeCell ref="G67:H67"/>
    <mergeCell ref="I67:J67"/>
    <mergeCell ref="K67:L67"/>
    <mergeCell ref="M67:N67"/>
    <mergeCell ref="O67:P67"/>
    <mergeCell ref="E68:P68"/>
  </mergeCells>
  <hyperlinks>
    <hyperlink ref="E66" r:id="rId1" display="Room Dry Bulb Temperature (oC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5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pageBreakPreview" topLeftCell="A1" colorId="64" zoomScale="130" zoomScaleNormal="115" zoomScalePageLayoutView="13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69" width="11.64"/>
    <col collapsed="false" customWidth="true" hidden="false" outlineLevel="0" max="2" min="2" style="69" width="15.8"/>
    <col collapsed="false" customWidth="true" hidden="false" outlineLevel="0" max="3" min="3" style="69" width="9.83"/>
    <col collapsed="false" customWidth="true" hidden="false" outlineLevel="0" max="4" min="4" style="69" width="9.24"/>
    <col collapsed="false" customWidth="true" hidden="false" outlineLevel="0" max="5" min="5" style="70" width="9.51"/>
    <col collapsed="false" customWidth="true" hidden="false" outlineLevel="0" max="6" min="6" style="70" width="8.14"/>
    <col collapsed="false" customWidth="true" hidden="false" outlineLevel="0" max="7" min="7" style="70" width="8.79"/>
    <col collapsed="false" customWidth="true" hidden="false" outlineLevel="0" max="8" min="8" style="70" width="13.55"/>
    <col collapsed="false" customWidth="true" hidden="false" outlineLevel="0" max="9" min="9" style="70" width="8.55"/>
    <col collapsed="false" customWidth="true" hidden="false" outlineLevel="0" max="10" min="10" style="70" width="10.25"/>
    <col collapsed="false" customWidth="false" hidden="false" outlineLevel="0" max="12" min="11" style="70" width="9.13"/>
    <col collapsed="false" customWidth="true" hidden="false" outlineLevel="0" max="13" min="13" style="70" width="11.94"/>
    <col collapsed="false" customWidth="false" hidden="false" outlineLevel="0" max="1023" min="14" style="70" width="9.13"/>
    <col collapsed="false" customWidth="false" hidden="false" outlineLevel="0" max="1024" min="1024" style="71" width="9.13"/>
  </cols>
  <sheetData>
    <row r="1" customFormat="false" ht="12.8" hidden="false" customHeight="false" outlineLevel="0" collapsed="false">
      <c r="A1" s="72"/>
      <c r="B1" s="73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13.05" hidden="false" customHeight="true" outlineLevel="0" collapsed="false">
      <c r="A2" s="74" t="s">
        <v>86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customFormat="false" ht="12.8" hidden="false" customHeight="false" outlineLevel="0" collapsed="false">
      <c r="A3" s="72"/>
      <c r="B3" s="72"/>
      <c r="C3" s="72"/>
      <c r="D3" s="72"/>
      <c r="E3" s="72"/>
      <c r="F3" s="72"/>
      <c r="G3" s="76"/>
      <c r="H3" s="72"/>
      <c r="I3" s="72"/>
      <c r="J3" s="72"/>
      <c r="K3" s="72"/>
    </row>
    <row r="4" customFormat="false" ht="13.05" hidden="false" customHeight="false" outlineLevel="0" collapsed="false">
      <c r="A4" s="77" t="s">
        <v>87</v>
      </c>
      <c r="B4" s="77"/>
      <c r="C4" s="77"/>
      <c r="D4" s="77"/>
      <c r="E4" s="77"/>
      <c r="F4" s="77"/>
      <c r="G4" s="77"/>
      <c r="H4" s="78" t="s">
        <v>88</v>
      </c>
      <c r="I4" s="79"/>
      <c r="J4" s="80" t="s">
        <v>89</v>
      </c>
      <c r="K4" s="81"/>
    </row>
    <row r="5" customFormat="false" ht="12.8" hidden="false" customHeight="true" outlineLevel="0" collapsed="false">
      <c r="A5" s="82" t="s">
        <v>90</v>
      </c>
      <c r="B5" s="83" t="s">
        <v>247</v>
      </c>
      <c r="C5" s="83"/>
      <c r="D5" s="83"/>
      <c r="E5" s="83"/>
      <c r="F5" s="83"/>
      <c r="G5" s="83"/>
      <c r="H5" s="84" t="s">
        <v>92</v>
      </c>
      <c r="I5" s="79"/>
      <c r="J5" s="80" t="s">
        <v>89</v>
      </c>
      <c r="K5" s="85"/>
      <c r="L5" s="86"/>
    </row>
    <row r="6" customFormat="false" ht="13.05" hidden="false" customHeight="false" outlineLevel="0" collapsed="false">
      <c r="A6" s="80" t="s">
        <v>93</v>
      </c>
      <c r="B6" s="87" t="n">
        <v>1</v>
      </c>
      <c r="C6" s="79" t="s">
        <v>94</v>
      </c>
      <c r="D6" s="87" t="n">
        <v>1</v>
      </c>
      <c r="E6" s="80"/>
      <c r="F6" s="80"/>
      <c r="G6" s="80"/>
      <c r="H6" s="84" t="s">
        <v>95</v>
      </c>
      <c r="I6" s="79"/>
      <c r="J6" s="80" t="s">
        <v>89</v>
      </c>
      <c r="K6" s="81"/>
      <c r="L6" s="72"/>
    </row>
    <row r="7" customFormat="false" ht="13.05" hidden="false" customHeight="true" outlineLevel="0" collapsed="false">
      <c r="A7" s="88" t="s">
        <v>96</v>
      </c>
      <c r="B7" s="88"/>
      <c r="C7" s="88"/>
      <c r="D7" s="88"/>
      <c r="E7" s="88"/>
      <c r="F7" s="72"/>
      <c r="G7" s="72"/>
      <c r="H7" s="72"/>
      <c r="I7" s="89"/>
      <c r="J7" s="72"/>
      <c r="K7" s="90"/>
      <c r="L7" s="72"/>
    </row>
    <row r="8" customFormat="false" ht="13.05" hidden="false" customHeight="true" outlineLevel="0" collapsed="false">
      <c r="A8" s="91" t="s">
        <v>97</v>
      </c>
      <c r="B8" s="91"/>
      <c r="C8" s="80"/>
      <c r="D8" s="92" t="s">
        <v>98</v>
      </c>
      <c r="E8" s="92" t="s">
        <v>99</v>
      </c>
      <c r="F8" s="92" t="s">
        <v>100</v>
      </c>
      <c r="G8" s="72"/>
      <c r="H8" s="93" t="s">
        <v>101</v>
      </c>
      <c r="I8" s="89"/>
      <c r="J8" s="72"/>
      <c r="K8" s="90"/>
      <c r="L8" s="72"/>
    </row>
    <row r="9" customFormat="false" ht="12.8" hidden="false" customHeight="true" outlineLevel="0" collapsed="false">
      <c r="A9" s="82" t="s">
        <v>102</v>
      </c>
      <c r="B9" s="82"/>
      <c r="C9" s="80"/>
      <c r="D9" s="94" t="n">
        <v>37.2</v>
      </c>
      <c r="E9" s="87" t="n">
        <v>25</v>
      </c>
      <c r="F9" s="80"/>
      <c r="G9" s="72"/>
      <c r="H9" s="95" t="s">
        <v>103</v>
      </c>
      <c r="I9" s="89"/>
      <c r="J9" s="72"/>
      <c r="K9" s="90"/>
      <c r="L9" s="72"/>
    </row>
    <row r="10" customFormat="false" ht="12.8" hidden="false" customHeight="true" outlineLevel="0" collapsed="false">
      <c r="A10" s="82" t="s">
        <v>104</v>
      </c>
      <c r="B10" s="82"/>
      <c r="C10" s="80"/>
      <c r="D10" s="94" t="n">
        <v>41</v>
      </c>
      <c r="E10" s="87" t="n">
        <v>47</v>
      </c>
      <c r="F10" s="80"/>
      <c r="G10" s="72"/>
      <c r="H10" s="96"/>
      <c r="I10" s="89"/>
      <c r="J10" s="72"/>
      <c r="K10" s="90"/>
      <c r="L10" s="72"/>
    </row>
    <row r="11" customFormat="false" ht="13.05" hidden="false" customHeight="true" outlineLevel="0" collapsed="false">
      <c r="A11" s="82" t="s">
        <v>105</v>
      </c>
      <c r="B11" s="82"/>
      <c r="C11" s="80"/>
      <c r="D11" s="97" t="n">
        <f aca="false">0.62198/(101325/(EXP(77.345+0.0057*(273+D9)- 7235/(273+D9))/(273+D9)^8.2)-1)*D10/100</f>
        <v>0.016834758778653</v>
      </c>
      <c r="E11" s="97" t="n">
        <f aca="false">0.62198/(101325/(EXP(77.345+0.0057*(273+E9)- 7235/(273+E9))/(273+E9)^8.2)-1)*E10/100</f>
        <v>0.00931930984740625</v>
      </c>
      <c r="F11" s="80"/>
      <c r="G11" s="72"/>
      <c r="H11" s="72"/>
      <c r="I11" s="89"/>
      <c r="J11" s="72"/>
      <c r="K11" s="90"/>
      <c r="L11" s="72"/>
    </row>
    <row r="12" customFormat="false" ht="13.05" hidden="false" customHeight="true" outlineLevel="0" collapsed="false">
      <c r="A12" s="82" t="s">
        <v>106</v>
      </c>
      <c r="B12" s="82"/>
      <c r="C12" s="80"/>
      <c r="D12" s="79"/>
      <c r="E12" s="79"/>
      <c r="F12" s="87" t="n">
        <v>10.5</v>
      </c>
      <c r="G12" s="72"/>
      <c r="H12" s="72"/>
      <c r="I12" s="89"/>
      <c r="J12" s="72"/>
      <c r="K12" s="90"/>
      <c r="L12" s="72"/>
    </row>
    <row r="13" customFormat="false" ht="12.8" hidden="false" customHeight="false" outlineLevel="0" collapsed="false">
      <c r="A13" s="82"/>
      <c r="B13" s="82"/>
      <c r="C13" s="80"/>
      <c r="D13" s="79"/>
      <c r="E13" s="79"/>
      <c r="F13" s="79"/>
      <c r="G13" s="72"/>
      <c r="H13" s="72"/>
      <c r="I13" s="89"/>
      <c r="J13" s="72"/>
      <c r="K13" s="90"/>
      <c r="L13" s="72"/>
    </row>
    <row r="14" customFormat="false" ht="13.05" hidden="false" customHeight="true" outlineLevel="0" collapsed="false">
      <c r="A14" s="91" t="s">
        <v>107</v>
      </c>
      <c r="B14" s="91"/>
      <c r="C14" s="80"/>
      <c r="D14" s="98"/>
      <c r="E14" s="98"/>
      <c r="F14" s="80"/>
      <c r="G14" s="72"/>
      <c r="H14" s="72"/>
      <c r="I14" s="89"/>
      <c r="J14" s="72"/>
      <c r="K14" s="90"/>
      <c r="L14" s="72"/>
    </row>
    <row r="15" customFormat="false" ht="12.8" hidden="false" customHeight="true" outlineLevel="0" collapsed="false">
      <c r="A15" s="82" t="s">
        <v>102</v>
      </c>
      <c r="B15" s="82"/>
      <c r="C15" s="80"/>
      <c r="D15" s="94" t="n">
        <v>32.3</v>
      </c>
      <c r="E15" s="87" t="n">
        <v>25</v>
      </c>
      <c r="F15" s="80"/>
      <c r="G15" s="72"/>
      <c r="H15" s="72"/>
      <c r="I15" s="89"/>
      <c r="J15" s="72"/>
      <c r="K15" s="90"/>
      <c r="L15" s="72"/>
    </row>
    <row r="16" customFormat="false" ht="12.8" hidden="false" customHeight="true" outlineLevel="0" collapsed="false">
      <c r="A16" s="82" t="s">
        <v>104</v>
      </c>
      <c r="B16" s="82"/>
      <c r="C16" s="80"/>
      <c r="D16" s="94" t="n">
        <v>72</v>
      </c>
      <c r="E16" s="87" t="n">
        <v>50</v>
      </c>
      <c r="F16" s="80"/>
      <c r="G16" s="72"/>
      <c r="H16" s="72"/>
      <c r="I16" s="89"/>
      <c r="J16" s="72"/>
      <c r="K16" s="90"/>
      <c r="L16" s="72"/>
    </row>
    <row r="17" customFormat="false" ht="13.05" hidden="false" customHeight="true" outlineLevel="0" collapsed="false">
      <c r="A17" s="82" t="s">
        <v>105</v>
      </c>
      <c r="B17" s="82"/>
      <c r="C17" s="80"/>
      <c r="D17" s="97" t="n">
        <f aca="false">0.62198/(101325/(EXP(77.345+0.0057*(273+D15)- 7235/(273+D15))/(273+D15)^8.2)-1)*D16/100</f>
        <v>0.0221812811253068</v>
      </c>
      <c r="E17" s="97" t="n">
        <f aca="false">0.62198/(101325/(EXP(77.345+0.0057*(273+E15)- 7235/(273+E15))/(273+E15)^8.2)-1)*E16/100</f>
        <v>0.0099141594121343</v>
      </c>
      <c r="F17" s="80"/>
      <c r="G17" s="72"/>
      <c r="H17" s="72"/>
      <c r="I17" s="89"/>
      <c r="J17" s="72"/>
      <c r="K17" s="90"/>
      <c r="L17" s="72"/>
    </row>
    <row r="18" customFormat="false" ht="13.05" hidden="false" customHeight="true" outlineLevel="0" collapsed="false">
      <c r="A18" s="82" t="s">
        <v>106</v>
      </c>
      <c r="B18" s="82"/>
      <c r="C18" s="80"/>
      <c r="D18" s="79"/>
      <c r="E18" s="79"/>
      <c r="F18" s="87" t="n">
        <v>10.5</v>
      </c>
      <c r="G18" s="72"/>
      <c r="H18" s="72"/>
      <c r="I18" s="89"/>
      <c r="J18" s="72"/>
      <c r="K18" s="90"/>
      <c r="L18" s="72"/>
    </row>
    <row r="19" customFormat="false" ht="12.8" hidden="false" customHeight="false" outlineLevel="0" collapsed="false">
      <c r="A19" s="82"/>
      <c r="B19" s="82"/>
      <c r="C19" s="80"/>
      <c r="D19" s="80"/>
      <c r="E19" s="80"/>
      <c r="F19" s="80"/>
      <c r="G19" s="72"/>
      <c r="H19" s="72"/>
      <c r="I19" s="89"/>
      <c r="J19" s="72"/>
      <c r="K19" s="90"/>
      <c r="L19" s="72"/>
    </row>
    <row r="20" customFormat="false" ht="13.05" hidden="false" customHeight="false" outlineLevel="0" collapsed="false">
      <c r="A20" s="80" t="s">
        <v>108</v>
      </c>
      <c r="B20" s="80"/>
      <c r="C20" s="80"/>
      <c r="D20" s="99" t="s">
        <v>109</v>
      </c>
      <c r="E20" s="79"/>
      <c r="F20" s="80"/>
      <c r="G20" s="72"/>
      <c r="H20" s="72"/>
      <c r="I20" s="89"/>
      <c r="J20" s="72"/>
      <c r="K20" s="90"/>
      <c r="L20" s="72"/>
    </row>
    <row r="21" customFormat="false" ht="13.05" hidden="false" customHeight="false" outlineLevel="0" collapsed="false">
      <c r="A21" s="80"/>
      <c r="B21" s="80" t="s">
        <v>110</v>
      </c>
      <c r="C21" s="87" t="s">
        <v>111</v>
      </c>
      <c r="D21" s="100" t="s">
        <v>112</v>
      </c>
      <c r="E21" s="100" t="s">
        <v>113</v>
      </c>
      <c r="F21" s="80"/>
      <c r="G21" s="72"/>
      <c r="H21" s="72"/>
      <c r="I21" s="89"/>
      <c r="J21" s="72"/>
      <c r="K21" s="90"/>
      <c r="L21" s="72"/>
    </row>
    <row r="22" customFormat="false" ht="13.05" hidden="false" customHeight="false" outlineLevel="0" collapsed="false">
      <c r="A22" s="80"/>
      <c r="B22" s="80" t="s">
        <v>114</v>
      </c>
      <c r="C22" s="100" t="s">
        <v>111</v>
      </c>
      <c r="D22" s="87" t="s">
        <v>112</v>
      </c>
      <c r="E22" s="100" t="s">
        <v>113</v>
      </c>
      <c r="F22" s="80"/>
      <c r="G22" s="72"/>
      <c r="H22" s="72"/>
      <c r="I22" s="89"/>
      <c r="J22" s="72"/>
      <c r="K22" s="90"/>
      <c r="L22" s="72"/>
    </row>
    <row r="23" customFormat="false" ht="13.05" hidden="false" customHeight="false" outlineLevel="0" collapsed="false">
      <c r="A23" s="80"/>
      <c r="B23" s="80" t="s">
        <v>115</v>
      </c>
      <c r="C23" s="100" t="s">
        <v>116</v>
      </c>
      <c r="D23" s="87" t="s">
        <v>117</v>
      </c>
      <c r="E23" s="100" t="s">
        <v>118</v>
      </c>
      <c r="F23" s="80"/>
      <c r="G23" s="72"/>
      <c r="H23" s="72"/>
      <c r="I23" s="89"/>
      <c r="J23" s="72"/>
      <c r="K23" s="90"/>
      <c r="L23" s="72"/>
    </row>
    <row r="24" customFormat="false" ht="12.8" hidden="false" customHeight="false" outlineLevel="0" collapsed="false">
      <c r="A24" s="72"/>
      <c r="B24" s="72"/>
      <c r="C24" s="89"/>
      <c r="D24" s="72"/>
      <c r="E24" s="72"/>
      <c r="F24" s="72"/>
      <c r="G24" s="72"/>
      <c r="H24" s="72"/>
      <c r="I24" s="89"/>
      <c r="J24" s="72"/>
      <c r="K24" s="90"/>
      <c r="L24" s="72"/>
    </row>
    <row r="25" customFormat="false" ht="12.8" hidden="false" customHeight="false" outlineLevel="0" collapsed="false">
      <c r="A25" s="101" t="s">
        <v>119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88"/>
      <c r="M25" s="72"/>
    </row>
    <row r="26" customFormat="false" ht="13.05" hidden="false" customHeight="true" outlineLevel="0" collapsed="false">
      <c r="A26" s="79" t="s">
        <v>120</v>
      </c>
      <c r="B26" s="79" t="s">
        <v>121</v>
      </c>
      <c r="C26" s="79"/>
      <c r="D26" s="79"/>
      <c r="E26" s="79"/>
      <c r="F26" s="79" t="s">
        <v>122</v>
      </c>
      <c r="G26" s="79" t="s">
        <v>123</v>
      </c>
      <c r="H26" s="79" t="s">
        <v>97</v>
      </c>
      <c r="I26" s="79" t="s">
        <v>124</v>
      </c>
      <c r="J26" s="79" t="s">
        <v>107</v>
      </c>
      <c r="K26" s="79" t="s">
        <v>124</v>
      </c>
      <c r="L26" s="72"/>
      <c r="M26" s="69"/>
    </row>
    <row r="27" customFormat="false" ht="24.25" hidden="false" customHeight="false" outlineLevel="0" collapsed="false">
      <c r="A27" s="79" t="s">
        <v>125</v>
      </c>
      <c r="B27" s="79"/>
      <c r="C27" s="79"/>
      <c r="D27" s="79"/>
      <c r="E27" s="79"/>
      <c r="F27" s="79" t="s">
        <v>126</v>
      </c>
      <c r="G27" s="79" t="s">
        <v>127</v>
      </c>
      <c r="H27" s="79" t="s">
        <v>128</v>
      </c>
      <c r="I27" s="79" t="s">
        <v>129</v>
      </c>
      <c r="J27" s="79" t="s">
        <v>128</v>
      </c>
      <c r="K27" s="79" t="s">
        <v>129</v>
      </c>
      <c r="L27" s="72"/>
    </row>
    <row r="28" customFormat="false" ht="12.8" hidden="false" customHeight="true" outlineLevel="0" collapsed="false">
      <c r="A28" s="79" t="n">
        <v>1</v>
      </c>
      <c r="B28" s="80" t="s">
        <v>130</v>
      </c>
      <c r="C28" s="80"/>
      <c r="D28" s="80"/>
      <c r="E28" s="80"/>
      <c r="F28" s="87"/>
      <c r="G28" s="87" t="n">
        <v>2.28</v>
      </c>
      <c r="H28" s="102" t="n">
        <f aca="false">VALUES!$F46+(25.6-$E$9)+($D$9-0.5*$F$12-29.4)</f>
        <v>12.45</v>
      </c>
      <c r="I28" s="103" t="n">
        <f aca="false">F28*G28*H28</f>
        <v>0</v>
      </c>
      <c r="J28" s="102" t="n">
        <f aca="false">VALUES!$I46+(25.6-$E$15)+($D$15-0.5*$F$18-29.4)</f>
        <v>2.95</v>
      </c>
      <c r="K28" s="103" t="n">
        <f aca="false">F28*G28*J28</f>
        <v>0</v>
      </c>
      <c r="L28" s="72"/>
    </row>
    <row r="29" customFormat="false" ht="13.05" hidden="false" customHeight="true" outlineLevel="0" collapsed="false">
      <c r="A29" s="79" t="n">
        <v>2</v>
      </c>
      <c r="B29" s="80" t="s">
        <v>131</v>
      </c>
      <c r="C29" s="80"/>
      <c r="D29" s="80"/>
      <c r="E29" s="80"/>
      <c r="F29" s="87"/>
      <c r="G29" s="87" t="n">
        <v>2.28</v>
      </c>
      <c r="H29" s="102" t="n">
        <f aca="false">VALUES!$F47+(25.6-$E$9)+($D$9-0.5*$F$12-29.4)</f>
        <v>12.85</v>
      </c>
      <c r="I29" s="103" t="n">
        <f aca="false">F29*G29*H29</f>
        <v>0</v>
      </c>
      <c r="J29" s="102" t="n">
        <f aca="false">VALUES!$I47+(25.6-$E$15)+($D$15-0.5*$F$18-29.4)</f>
        <v>4.05</v>
      </c>
      <c r="K29" s="103" t="n">
        <f aca="false">F29*G29*J29</f>
        <v>0</v>
      </c>
      <c r="L29" s="72"/>
    </row>
    <row r="30" customFormat="false" ht="12.8" hidden="false" customHeight="true" outlineLevel="0" collapsed="false">
      <c r="A30" s="79" t="n">
        <v>3</v>
      </c>
      <c r="B30" s="80" t="s">
        <v>132</v>
      </c>
      <c r="C30" s="80"/>
      <c r="D30" s="80"/>
      <c r="E30" s="80"/>
      <c r="F30" s="87"/>
      <c r="G30" s="87" t="n">
        <v>2.28</v>
      </c>
      <c r="H30" s="102" t="n">
        <f aca="false">VALUES!$F48+(25.6-$E$9)+($D$9-0.5*$F$12-29.4)</f>
        <v>12.85</v>
      </c>
      <c r="I30" s="103" t="n">
        <f aca="false">F30*G30*H30</f>
        <v>0</v>
      </c>
      <c r="J30" s="102" t="n">
        <f aca="false">VALUES!$I48+(25.6-$E$15)+($D$15-0.5*$F$18-29.4)</f>
        <v>7.95</v>
      </c>
      <c r="K30" s="103" t="n">
        <f aca="false">F30*G30*J30</f>
        <v>0</v>
      </c>
      <c r="L30" s="72"/>
    </row>
    <row r="31" customFormat="false" ht="13.05" hidden="false" customHeight="true" outlineLevel="0" collapsed="false">
      <c r="A31" s="79" t="n">
        <v>4</v>
      </c>
      <c r="B31" s="80" t="s">
        <v>133</v>
      </c>
      <c r="C31" s="80"/>
      <c r="D31" s="80"/>
      <c r="E31" s="80"/>
      <c r="F31" s="87"/>
      <c r="G31" s="87" t="n">
        <v>2.28</v>
      </c>
      <c r="H31" s="102" t="n">
        <f aca="false">VALUES!$F49+(25.6-$E$9)+($D$9-0.5*$F$12-29.4)</f>
        <v>10.15</v>
      </c>
      <c r="I31" s="103" t="n">
        <f aca="false">F31*G31*H31</f>
        <v>0</v>
      </c>
      <c r="J31" s="102" t="n">
        <f aca="false">VALUES!$I49+(25.6-$E$15)+($D$15-0.5*$F$18-29.4)</f>
        <v>9.55</v>
      </c>
      <c r="K31" s="103" t="n">
        <f aca="false">F31*G31*J31</f>
        <v>0</v>
      </c>
      <c r="L31" s="72"/>
    </row>
    <row r="32" customFormat="false" ht="12.8" hidden="false" customHeight="true" outlineLevel="0" collapsed="false">
      <c r="A32" s="79" t="n">
        <v>5</v>
      </c>
      <c r="B32" s="80" t="s">
        <v>134</v>
      </c>
      <c r="C32" s="80"/>
      <c r="D32" s="80"/>
      <c r="E32" s="80"/>
      <c r="F32" s="87" t="n">
        <f aca="false">3.7*4.2</f>
        <v>15.54</v>
      </c>
      <c r="G32" s="87" t="n">
        <v>2.28</v>
      </c>
      <c r="H32" s="102" t="n">
        <f aca="false">VALUES!$F50+(25.6-$E$9)+($D$9-0.5*$F$12-29.4)</f>
        <v>8.95000000000001</v>
      </c>
      <c r="I32" s="103" t="n">
        <f aca="false">F32*G32*H32</f>
        <v>317.10924</v>
      </c>
      <c r="J32" s="102" t="n">
        <f aca="false">VALUES!$I50+(25.6-$E$15)+($D$15-0.5*$F$18-29.4)</f>
        <v>10.65</v>
      </c>
      <c r="K32" s="103" t="n">
        <f aca="false">F32*G32*J32</f>
        <v>377.34228</v>
      </c>
      <c r="L32" s="72"/>
    </row>
    <row r="33" customFormat="false" ht="13.05" hidden="false" customHeight="true" outlineLevel="0" collapsed="false">
      <c r="A33" s="79" t="n">
        <v>6</v>
      </c>
      <c r="B33" s="80" t="s">
        <v>135</v>
      </c>
      <c r="C33" s="80"/>
      <c r="D33" s="80"/>
      <c r="E33" s="80"/>
      <c r="F33" s="87"/>
      <c r="G33" s="87" t="n">
        <v>2.28</v>
      </c>
      <c r="H33" s="102" t="n">
        <f aca="false">VALUES!$F51+(25.6-$E$9)+($D$9-0.5*$F$12-29.4)</f>
        <v>10.95</v>
      </c>
      <c r="I33" s="103" t="n">
        <f aca="false">F33*G33*H33</f>
        <v>0</v>
      </c>
      <c r="J33" s="102" t="n">
        <f aca="false">VALUES!$I51+(25.6-$E$15)+($D$15-0.5*$F$18-29.4)</f>
        <v>10.35</v>
      </c>
      <c r="K33" s="103" t="n">
        <f aca="false">F33*G33*J33</f>
        <v>0</v>
      </c>
      <c r="L33" s="72"/>
    </row>
    <row r="34" customFormat="false" ht="23.85" hidden="false" customHeight="true" outlineLevel="0" collapsed="false">
      <c r="A34" s="79" t="n">
        <v>7</v>
      </c>
      <c r="B34" s="80" t="s">
        <v>136</v>
      </c>
      <c r="C34" s="80"/>
      <c r="D34" s="80"/>
      <c r="E34" s="80"/>
      <c r="F34" s="87"/>
      <c r="G34" s="87" t="n">
        <v>2.28</v>
      </c>
      <c r="H34" s="102" t="n">
        <f aca="false">VALUES!$F52+(25.6-$E$9)+($D$9-0.5*$F$12-29.4)</f>
        <v>14.05</v>
      </c>
      <c r="I34" s="103" t="n">
        <f aca="false">F34*G34*H34</f>
        <v>0</v>
      </c>
      <c r="J34" s="102" t="n">
        <f aca="false">VALUES!$I52+(25.6-$E$15)+($D$15-0.5*$F$18-29.4)</f>
        <v>9.15</v>
      </c>
      <c r="K34" s="103" t="n">
        <f aca="false">F34*G34*J34</f>
        <v>0</v>
      </c>
      <c r="L34" s="72"/>
      <c r="M34" s="104" t="s">
        <v>137</v>
      </c>
      <c r="N34" s="104" t="s">
        <v>138</v>
      </c>
    </row>
    <row r="35" customFormat="false" ht="13.05" hidden="false" customHeight="true" outlineLevel="0" collapsed="false">
      <c r="A35" s="79" t="n">
        <v>8</v>
      </c>
      <c r="B35" s="80" t="s">
        <v>139</v>
      </c>
      <c r="C35" s="80"/>
      <c r="D35" s="80"/>
      <c r="E35" s="80"/>
      <c r="F35" s="87"/>
      <c r="G35" s="87" t="n">
        <v>2.28</v>
      </c>
      <c r="H35" s="102" t="n">
        <f aca="false">VALUES!$F53+(25.6-$E$9)+($D$9-0.5*$F$12-29.4)</f>
        <v>13.65</v>
      </c>
      <c r="I35" s="103" t="n">
        <f aca="false">F35*G35*H35</f>
        <v>0</v>
      </c>
      <c r="J35" s="102" t="n">
        <f aca="false">VALUES!$I53+(25.6-$E$15)+($D$15-0.5*$F$18-29.4)</f>
        <v>4.85</v>
      </c>
      <c r="K35" s="103" t="n">
        <f aca="false">F35*G35*J35</f>
        <v>0</v>
      </c>
      <c r="L35" s="72"/>
      <c r="M35" s="105"/>
      <c r="N35" s="105"/>
      <c r="O35" s="104" t="n">
        <f aca="false">VALUES!$C$21</f>
        <v>6</v>
      </c>
      <c r="P35" s="104" t="n">
        <f aca="false">VALUES!$D$21</f>
        <v>7</v>
      </c>
      <c r="Q35" s="104" t="n">
        <f aca="false">VALUES!$E$21</f>
        <v>8</v>
      </c>
      <c r="R35" s="104" t="n">
        <f aca="false">VALUES!$F$21</f>
        <v>9</v>
      </c>
      <c r="S35" s="104" t="n">
        <f aca="false">VALUES!$G$21</f>
        <v>10</v>
      </c>
      <c r="T35" s="104" t="n">
        <f aca="false">VALUES!$H$21</f>
        <v>11</v>
      </c>
      <c r="U35" s="104" t="n">
        <f aca="false">VALUES!$I$21</f>
        <v>12</v>
      </c>
      <c r="V35" s="104" t="n">
        <f aca="false">VALUES!$J$21</f>
        <v>13</v>
      </c>
      <c r="W35" s="104" t="n">
        <f aca="false">VALUES!$K$21</f>
        <v>14</v>
      </c>
      <c r="X35" s="104" t="n">
        <f aca="false">VALUES!$L$21</f>
        <v>15</v>
      </c>
      <c r="Y35" s="104" t="n">
        <f aca="false">VALUES!$M$21</f>
        <v>16</v>
      </c>
      <c r="Z35" s="104" t="n">
        <f aca="false">VALUES!$N$21</f>
        <v>17</v>
      </c>
      <c r="AA35" s="104" t="n">
        <f aca="false">VALUES!$O$21</f>
        <v>18</v>
      </c>
    </row>
    <row r="36" customFormat="false" ht="13.05" hidden="false" customHeight="true" outlineLevel="0" collapsed="false">
      <c r="A36" s="79" t="n">
        <v>9</v>
      </c>
      <c r="B36" s="80" t="s">
        <v>140</v>
      </c>
      <c r="C36" s="80"/>
      <c r="D36" s="80"/>
      <c r="E36" s="80"/>
      <c r="F36" s="87"/>
      <c r="G36" s="87" t="n">
        <v>5.23</v>
      </c>
      <c r="H36" s="102" t="n">
        <f aca="false">M36+(25.6-$E$9)+($D$9-0.5*$F$12-29.4)</f>
        <v>8.15000000000001</v>
      </c>
      <c r="I36" s="103" t="n">
        <f aca="false">F36*G36*H36</f>
        <v>0</v>
      </c>
      <c r="J36" s="102" t="n">
        <f aca="false">N36+(25.6-$E$15)+($D$15-0.5*$F$18-29.4)</f>
        <v>3.25</v>
      </c>
      <c r="K36" s="103" t="n">
        <f aca="false">F36*G36*J36</f>
        <v>0</v>
      </c>
      <c r="L36" s="72"/>
      <c r="M36" s="106" t="n">
        <f aca="false">INDEX(O36:AA36,1,MATCH(MAX($O$64:$AA$64),$O$64:$AA$64,0))</f>
        <v>5</v>
      </c>
      <c r="N36" s="107" t="n">
        <f aca="false">INDEX(O36:AA36,1,MATCH(MAX($O$65:$AA$65),$O$65:$AA$65,0))</f>
        <v>5</v>
      </c>
      <c r="O36" s="108" t="n">
        <f aca="false">VALUES!C$61</f>
        <v>-1.1</v>
      </c>
      <c r="P36" s="108" t="n">
        <f aca="false">VALUES!D$61</f>
        <v>-1.1</v>
      </c>
      <c r="Q36" s="108" t="n">
        <f aca="false">VALUES!E$61</f>
        <v>0</v>
      </c>
      <c r="R36" s="108" t="n">
        <f aca="false">VALUES!F$61</f>
        <v>1.1</v>
      </c>
      <c r="S36" s="108" t="n">
        <f aca="false">VALUES!G$61</f>
        <v>2.2</v>
      </c>
      <c r="T36" s="108" t="n">
        <f aca="false">VALUES!H$61</f>
        <v>3.9</v>
      </c>
      <c r="U36" s="108" t="n">
        <f aca="false">VALUES!I$61</f>
        <v>5</v>
      </c>
      <c r="V36" s="108" t="n">
        <f aca="false">VALUES!J$61</f>
        <v>6.7</v>
      </c>
      <c r="W36" s="108" t="n">
        <f aca="false">VALUES!K$61</f>
        <v>7.2</v>
      </c>
      <c r="X36" s="108" t="n">
        <f aca="false">VALUES!L$61</f>
        <v>7.8</v>
      </c>
      <c r="Y36" s="108" t="n">
        <f aca="false">VALUES!M$61</f>
        <v>7.8</v>
      </c>
      <c r="Z36" s="108" t="n">
        <f aca="false">VALUES!N$61</f>
        <v>7.2</v>
      </c>
      <c r="AA36" s="108" t="n">
        <f aca="false">VALUES!O$61</f>
        <v>6.7</v>
      </c>
    </row>
    <row r="37" customFormat="false" ht="13.05" hidden="false" customHeight="true" outlineLevel="0" collapsed="false">
      <c r="A37" s="79" t="n">
        <v>10</v>
      </c>
      <c r="B37" s="80" t="s">
        <v>141</v>
      </c>
      <c r="C37" s="80"/>
      <c r="D37" s="80"/>
      <c r="E37" s="80"/>
      <c r="F37" s="87"/>
      <c r="G37" s="87" t="n">
        <v>5.23</v>
      </c>
      <c r="H37" s="102" t="n">
        <f aca="false">M37+(25.6-$E$9)+($D$9-0.5*$F$12-29.4)</f>
        <v>8.15000000000001</v>
      </c>
      <c r="I37" s="103" t="n">
        <f aca="false">F37*G37*H37</f>
        <v>0</v>
      </c>
      <c r="J37" s="102" t="n">
        <f aca="false">N37+(25.6-$E$15)+($D$15-0.5*$F$18-29.4)</f>
        <v>3.25</v>
      </c>
      <c r="K37" s="103" t="n">
        <f aca="false">F37*G37*J37</f>
        <v>0</v>
      </c>
      <c r="L37" s="72"/>
      <c r="M37" s="109" t="n">
        <f aca="false">INDEX(O37:AA37,1,MATCH(MAX($O$64:$AA$64),$O$64:$AA$64,0))</f>
        <v>5</v>
      </c>
      <c r="N37" s="110" t="n">
        <f aca="false">INDEX(O37:AA37,1,MATCH(MAX($O$65:$AA$65),$O$65:$AA$65,0))</f>
        <v>5</v>
      </c>
      <c r="O37" s="108" t="n">
        <f aca="false">VALUES!C$61</f>
        <v>-1.1</v>
      </c>
      <c r="P37" s="108" t="n">
        <f aca="false">VALUES!D$61</f>
        <v>-1.1</v>
      </c>
      <c r="Q37" s="108" t="n">
        <f aca="false">VALUES!E$61</f>
        <v>0</v>
      </c>
      <c r="R37" s="108" t="n">
        <f aca="false">VALUES!F$61</f>
        <v>1.1</v>
      </c>
      <c r="S37" s="108" t="n">
        <f aca="false">VALUES!G$61</f>
        <v>2.2</v>
      </c>
      <c r="T37" s="108" t="n">
        <f aca="false">VALUES!H$61</f>
        <v>3.9</v>
      </c>
      <c r="U37" s="108" t="n">
        <f aca="false">VALUES!I$61</f>
        <v>5</v>
      </c>
      <c r="V37" s="108" t="n">
        <f aca="false">VALUES!J$61</f>
        <v>6.7</v>
      </c>
      <c r="W37" s="108" t="n">
        <f aca="false">VALUES!K$61</f>
        <v>7.2</v>
      </c>
      <c r="X37" s="108" t="n">
        <f aca="false">VALUES!L$61</f>
        <v>7.8</v>
      </c>
      <c r="Y37" s="108" t="n">
        <f aca="false">VALUES!M$61</f>
        <v>7.8</v>
      </c>
      <c r="Z37" s="108" t="n">
        <f aca="false">VALUES!N$61</f>
        <v>7.2</v>
      </c>
      <c r="AA37" s="108" t="n">
        <f aca="false">VALUES!O$61</f>
        <v>6.7</v>
      </c>
    </row>
    <row r="38" customFormat="false" ht="12.8" hidden="false" customHeight="true" outlineLevel="0" collapsed="false">
      <c r="A38" s="79" t="n">
        <v>11</v>
      </c>
      <c r="B38" s="80" t="s">
        <v>142</v>
      </c>
      <c r="C38" s="80"/>
      <c r="D38" s="80"/>
      <c r="E38" s="80"/>
      <c r="F38" s="87"/>
      <c r="G38" s="87" t="n">
        <v>5.23</v>
      </c>
      <c r="H38" s="102" t="n">
        <f aca="false">M38+(25.6-$E$9)+($D$9-0.5*$F$12-29.4)</f>
        <v>8.15000000000001</v>
      </c>
      <c r="I38" s="103" t="n">
        <f aca="false">F38*G38*H38</f>
        <v>0</v>
      </c>
      <c r="J38" s="102" t="n">
        <f aca="false">N38+(25.6-$E$15)+($D$15-0.5*$F$18-29.4)</f>
        <v>3.25</v>
      </c>
      <c r="K38" s="103" t="n">
        <f aca="false">F38*G38*J38</f>
        <v>0</v>
      </c>
      <c r="L38" s="72"/>
      <c r="M38" s="109" t="n">
        <f aca="false">INDEX(O38:AA38,1,MATCH(MAX($O$64:$AA$64),$O$64:$AA$64,0))</f>
        <v>5</v>
      </c>
      <c r="N38" s="110" t="n">
        <f aca="false">INDEX(O38:AA38,1,MATCH(MAX($O$65:$AA$65),$O$65:$AA$65,0))</f>
        <v>5</v>
      </c>
      <c r="O38" s="108" t="n">
        <f aca="false">VALUES!C$61</f>
        <v>-1.1</v>
      </c>
      <c r="P38" s="108" t="n">
        <f aca="false">VALUES!D$61</f>
        <v>-1.1</v>
      </c>
      <c r="Q38" s="108" t="n">
        <f aca="false">VALUES!E$61</f>
        <v>0</v>
      </c>
      <c r="R38" s="108" t="n">
        <f aca="false">VALUES!F$61</f>
        <v>1.1</v>
      </c>
      <c r="S38" s="108" t="n">
        <f aca="false">VALUES!G$61</f>
        <v>2.2</v>
      </c>
      <c r="T38" s="108" t="n">
        <f aca="false">VALUES!H$61</f>
        <v>3.9</v>
      </c>
      <c r="U38" s="108" t="n">
        <f aca="false">VALUES!I$61</f>
        <v>5</v>
      </c>
      <c r="V38" s="108" t="n">
        <f aca="false">VALUES!J$61</f>
        <v>6.7</v>
      </c>
      <c r="W38" s="108" t="n">
        <f aca="false">VALUES!K$61</f>
        <v>7.2</v>
      </c>
      <c r="X38" s="108" t="n">
        <f aca="false">VALUES!L$61</f>
        <v>7.8</v>
      </c>
      <c r="Y38" s="108" t="n">
        <f aca="false">VALUES!M$61</f>
        <v>7.8</v>
      </c>
      <c r="Z38" s="108" t="n">
        <f aca="false">VALUES!N$61</f>
        <v>7.2</v>
      </c>
      <c r="AA38" s="108" t="n">
        <f aca="false">VALUES!O$61</f>
        <v>6.7</v>
      </c>
    </row>
    <row r="39" customFormat="false" ht="13.05" hidden="false" customHeight="true" outlineLevel="0" collapsed="false">
      <c r="A39" s="79" t="n">
        <v>12</v>
      </c>
      <c r="B39" s="80" t="s">
        <v>143</v>
      </c>
      <c r="C39" s="80"/>
      <c r="D39" s="80"/>
      <c r="E39" s="80"/>
      <c r="F39" s="87"/>
      <c r="G39" s="87" t="n">
        <v>5.23</v>
      </c>
      <c r="H39" s="102" t="n">
        <f aca="false">M39+(25.6-$E$9)+($D$9-0.5*$F$12-29.4)</f>
        <v>8.15000000000001</v>
      </c>
      <c r="I39" s="103" t="n">
        <f aca="false">F39*G39*H39</f>
        <v>0</v>
      </c>
      <c r="J39" s="102" t="n">
        <f aca="false">N39+(25.6-$E$15)+($D$15-0.5*$F$18-29.4)</f>
        <v>3.25</v>
      </c>
      <c r="K39" s="103" t="n">
        <f aca="false">F39*G39*J39</f>
        <v>0</v>
      </c>
      <c r="L39" s="72"/>
      <c r="M39" s="109" t="n">
        <f aca="false">INDEX(O39:AA39,1,MATCH(MAX($O$64:$AA$64),$O$64:$AA$64,0))</f>
        <v>5</v>
      </c>
      <c r="N39" s="110" t="n">
        <f aca="false">INDEX(O39:AA39,1,MATCH(MAX($O$65:$AA$65),$O$65:$AA$65,0))</f>
        <v>5</v>
      </c>
      <c r="O39" s="108" t="n">
        <f aca="false">VALUES!C$61</f>
        <v>-1.1</v>
      </c>
      <c r="P39" s="108" t="n">
        <f aca="false">VALUES!D$61</f>
        <v>-1.1</v>
      </c>
      <c r="Q39" s="108" t="n">
        <f aca="false">VALUES!E$61</f>
        <v>0</v>
      </c>
      <c r="R39" s="108" t="n">
        <f aca="false">VALUES!F$61</f>
        <v>1.1</v>
      </c>
      <c r="S39" s="108" t="n">
        <f aca="false">VALUES!G$61</f>
        <v>2.2</v>
      </c>
      <c r="T39" s="108" t="n">
        <f aca="false">VALUES!H$61</f>
        <v>3.9</v>
      </c>
      <c r="U39" s="108" t="n">
        <f aca="false">VALUES!I$61</f>
        <v>5</v>
      </c>
      <c r="V39" s="108" t="n">
        <f aca="false">VALUES!J$61</f>
        <v>6.7</v>
      </c>
      <c r="W39" s="108" t="n">
        <f aca="false">VALUES!K$61</f>
        <v>7.2</v>
      </c>
      <c r="X39" s="108" t="n">
        <f aca="false">VALUES!L$61</f>
        <v>7.8</v>
      </c>
      <c r="Y39" s="108" t="n">
        <f aca="false">VALUES!M$61</f>
        <v>7.8</v>
      </c>
      <c r="Z39" s="108" t="n">
        <f aca="false">VALUES!N$61</f>
        <v>7.2</v>
      </c>
      <c r="AA39" s="108" t="n">
        <f aca="false">VALUES!O$61</f>
        <v>6.7</v>
      </c>
    </row>
    <row r="40" customFormat="false" ht="12.8" hidden="false" customHeight="true" outlineLevel="0" collapsed="false">
      <c r="A40" s="79" t="n">
        <v>13</v>
      </c>
      <c r="B40" s="80" t="s">
        <v>144</v>
      </c>
      <c r="C40" s="80"/>
      <c r="D40" s="80"/>
      <c r="E40" s="80"/>
      <c r="F40" s="87" t="n">
        <f aca="false">F32*0.3</f>
        <v>4.662</v>
      </c>
      <c r="G40" s="87" t="n">
        <v>5.23</v>
      </c>
      <c r="H40" s="102" t="n">
        <f aca="false">M40+(25.6-$E$9)+($D$9-0.5*$F$12-29.4)</f>
        <v>8.15000000000001</v>
      </c>
      <c r="I40" s="103" t="n">
        <f aca="false">F40*G40*H40</f>
        <v>198.715419</v>
      </c>
      <c r="J40" s="102" t="n">
        <f aca="false">N40+(25.6-$E$15)+($D$15-0.5*$F$18-29.4)</f>
        <v>3.25</v>
      </c>
      <c r="K40" s="103" t="n">
        <f aca="false">F40*G40*J40</f>
        <v>79.242345</v>
      </c>
      <c r="L40" s="72"/>
      <c r="M40" s="109" t="n">
        <f aca="false">INDEX(O40:AA40,1,MATCH(MAX($O$64:$AA$64),$O$64:$AA$64,0))</f>
        <v>5</v>
      </c>
      <c r="N40" s="110" t="n">
        <f aca="false">INDEX(O40:AA40,1,MATCH(MAX($O$65:$AA$65),$O$65:$AA$65,0))</f>
        <v>5</v>
      </c>
      <c r="O40" s="108" t="n">
        <f aca="false">VALUES!C$61</f>
        <v>-1.1</v>
      </c>
      <c r="P40" s="108" t="n">
        <f aca="false">VALUES!D$61</f>
        <v>-1.1</v>
      </c>
      <c r="Q40" s="108" t="n">
        <f aca="false">VALUES!E$61</f>
        <v>0</v>
      </c>
      <c r="R40" s="108" t="n">
        <f aca="false">VALUES!F$61</f>
        <v>1.1</v>
      </c>
      <c r="S40" s="108" t="n">
        <f aca="false">VALUES!G$61</f>
        <v>2.2</v>
      </c>
      <c r="T40" s="108" t="n">
        <f aca="false">VALUES!H$61</f>
        <v>3.9</v>
      </c>
      <c r="U40" s="108" t="n">
        <f aca="false">VALUES!I$61</f>
        <v>5</v>
      </c>
      <c r="V40" s="108" t="n">
        <f aca="false">VALUES!J$61</f>
        <v>6.7</v>
      </c>
      <c r="W40" s="108" t="n">
        <f aca="false">VALUES!K$61</f>
        <v>7.2</v>
      </c>
      <c r="X40" s="108" t="n">
        <f aca="false">VALUES!L$61</f>
        <v>7.8</v>
      </c>
      <c r="Y40" s="108" t="n">
        <f aca="false">VALUES!M$61</f>
        <v>7.8</v>
      </c>
      <c r="Z40" s="108" t="n">
        <f aca="false">VALUES!N$61</f>
        <v>7.2</v>
      </c>
      <c r="AA40" s="108" t="n">
        <f aca="false">VALUES!O$61</f>
        <v>6.7</v>
      </c>
    </row>
    <row r="41" customFormat="false" ht="13.05" hidden="false" customHeight="true" outlineLevel="0" collapsed="false">
      <c r="A41" s="79" t="n">
        <v>14</v>
      </c>
      <c r="B41" s="80" t="s">
        <v>145</v>
      </c>
      <c r="C41" s="80"/>
      <c r="D41" s="80"/>
      <c r="E41" s="80"/>
      <c r="F41" s="87"/>
      <c r="G41" s="87" t="n">
        <v>5.23</v>
      </c>
      <c r="H41" s="102" t="n">
        <f aca="false">M41+(25.6-$E$9)+($D$9-0.5*$F$12-29.4)</f>
        <v>8.15000000000001</v>
      </c>
      <c r="I41" s="103" t="n">
        <f aca="false">F41*G41*H41</f>
        <v>0</v>
      </c>
      <c r="J41" s="102" t="n">
        <f aca="false">N41+(25.6-$E$15)+($D$15-0.5*$F$18-29.4)</f>
        <v>3.25</v>
      </c>
      <c r="K41" s="103" t="n">
        <f aca="false">F41*G41*J41</f>
        <v>0</v>
      </c>
      <c r="L41" s="72"/>
      <c r="M41" s="109" t="n">
        <f aca="false">INDEX(O41:AA41,1,MATCH(MAX($O$64:$AA$64),$O$64:$AA$64,0))</f>
        <v>5</v>
      </c>
      <c r="N41" s="110" t="n">
        <f aca="false">INDEX(O41:AA41,1,MATCH(MAX($O$65:$AA$65),$O$65:$AA$65,0))</f>
        <v>5</v>
      </c>
      <c r="O41" s="108" t="n">
        <f aca="false">VALUES!C$61</f>
        <v>-1.1</v>
      </c>
      <c r="P41" s="108" t="n">
        <f aca="false">VALUES!D$61</f>
        <v>-1.1</v>
      </c>
      <c r="Q41" s="108" t="n">
        <f aca="false">VALUES!E$61</f>
        <v>0</v>
      </c>
      <c r="R41" s="108" t="n">
        <f aca="false">VALUES!F$61</f>
        <v>1.1</v>
      </c>
      <c r="S41" s="108" t="n">
        <f aca="false">VALUES!G$61</f>
        <v>2.2</v>
      </c>
      <c r="T41" s="108" t="n">
        <f aca="false">VALUES!H$61</f>
        <v>3.9</v>
      </c>
      <c r="U41" s="108" t="n">
        <f aca="false">VALUES!I$61</f>
        <v>5</v>
      </c>
      <c r="V41" s="108" t="n">
        <f aca="false">VALUES!J$61</f>
        <v>6.7</v>
      </c>
      <c r="W41" s="108" t="n">
        <f aca="false">VALUES!K$61</f>
        <v>7.2</v>
      </c>
      <c r="X41" s="108" t="n">
        <f aca="false">VALUES!L$61</f>
        <v>7.8</v>
      </c>
      <c r="Y41" s="108" t="n">
        <f aca="false">VALUES!M$61</f>
        <v>7.8</v>
      </c>
      <c r="Z41" s="108" t="n">
        <f aca="false">VALUES!N$61</f>
        <v>7.2</v>
      </c>
      <c r="AA41" s="108" t="n">
        <f aca="false">VALUES!O$61</f>
        <v>6.7</v>
      </c>
    </row>
    <row r="42" customFormat="false" ht="13.05" hidden="false" customHeight="true" outlineLevel="0" collapsed="false">
      <c r="A42" s="79" t="n">
        <v>15</v>
      </c>
      <c r="B42" s="80" t="s">
        <v>146</v>
      </c>
      <c r="C42" s="80"/>
      <c r="D42" s="80"/>
      <c r="E42" s="80"/>
      <c r="F42" s="87"/>
      <c r="G42" s="87" t="n">
        <v>5.23</v>
      </c>
      <c r="H42" s="102" t="n">
        <f aca="false">M42+(25.6-$E$9)+($D$9-0.5*$F$12-29.4)</f>
        <v>8.15000000000001</v>
      </c>
      <c r="I42" s="103" t="n">
        <f aca="false">F42*G42*H42</f>
        <v>0</v>
      </c>
      <c r="J42" s="102" t="n">
        <f aca="false">N42+(25.6-$E$15)+($D$15-0.5*$F$18-29.4)</f>
        <v>3.25</v>
      </c>
      <c r="K42" s="103" t="n">
        <f aca="false">F42*G42*J42</f>
        <v>0</v>
      </c>
      <c r="L42" s="72"/>
      <c r="M42" s="109" t="n">
        <f aca="false">INDEX(O42:AA42,1,MATCH(MAX($O$64:$AA$64),$O$64:$AA$64,0))</f>
        <v>5</v>
      </c>
      <c r="N42" s="110" t="n">
        <f aca="false">INDEX(O42:AA42,1,MATCH(MAX($O$65:$AA$65),$O$65:$AA$65,0))</f>
        <v>5</v>
      </c>
      <c r="O42" s="108" t="n">
        <f aca="false">VALUES!C$61</f>
        <v>-1.1</v>
      </c>
      <c r="P42" s="108" t="n">
        <f aca="false">VALUES!D$61</f>
        <v>-1.1</v>
      </c>
      <c r="Q42" s="108" t="n">
        <f aca="false">VALUES!E$61</f>
        <v>0</v>
      </c>
      <c r="R42" s="108" t="n">
        <f aca="false">VALUES!F$61</f>
        <v>1.1</v>
      </c>
      <c r="S42" s="108" t="n">
        <f aca="false">VALUES!G$61</f>
        <v>2.2</v>
      </c>
      <c r="T42" s="108" t="n">
        <f aca="false">VALUES!H$61</f>
        <v>3.9</v>
      </c>
      <c r="U42" s="108" t="n">
        <f aca="false">VALUES!I$61</f>
        <v>5</v>
      </c>
      <c r="V42" s="108" t="n">
        <f aca="false">VALUES!J$61</f>
        <v>6.7</v>
      </c>
      <c r="W42" s="108" t="n">
        <f aca="false">VALUES!K$61</f>
        <v>7.2</v>
      </c>
      <c r="X42" s="108" t="n">
        <f aca="false">VALUES!L$61</f>
        <v>7.8</v>
      </c>
      <c r="Y42" s="108" t="n">
        <f aca="false">VALUES!M$61</f>
        <v>7.8</v>
      </c>
      <c r="Z42" s="108" t="n">
        <f aca="false">VALUES!N$61</f>
        <v>7.2</v>
      </c>
      <c r="AA42" s="108" t="n">
        <f aca="false">VALUES!O$61</f>
        <v>6.7</v>
      </c>
    </row>
    <row r="43" customFormat="false" ht="13.05" hidden="false" customHeight="true" outlineLevel="0" collapsed="false">
      <c r="A43" s="79" t="n">
        <v>16</v>
      </c>
      <c r="B43" s="80" t="s">
        <v>147</v>
      </c>
      <c r="C43" s="80"/>
      <c r="D43" s="80"/>
      <c r="E43" s="80"/>
      <c r="F43" s="87"/>
      <c r="G43" s="87" t="n">
        <v>5.23</v>
      </c>
      <c r="H43" s="102" t="n">
        <f aca="false">M43+(25.6-$E$9)+($D$9-0.5*$F$12-29.4)</f>
        <v>8.15000000000001</v>
      </c>
      <c r="I43" s="103" t="n">
        <f aca="false">F43*G43*H43</f>
        <v>0</v>
      </c>
      <c r="J43" s="102" t="n">
        <f aca="false">N43+(25.6-$E$15)+($D$15-0.5*$F$18-29.4)</f>
        <v>3.25</v>
      </c>
      <c r="K43" s="103" t="n">
        <f aca="false">F43*G43*J43</f>
        <v>0</v>
      </c>
      <c r="L43" s="72"/>
      <c r="M43" s="109" t="n">
        <f aca="false">INDEX(O43:AA43,1,MATCH(MAX($O$64:$AA$64),$O$64:$AA$64,0))</f>
        <v>5</v>
      </c>
      <c r="N43" s="110" t="n">
        <f aca="false">INDEX(O43:AA43,1,MATCH(MAX($O$65:$AA$65),$O$65:$AA$65,0))</f>
        <v>5</v>
      </c>
      <c r="O43" s="108" t="n">
        <f aca="false">VALUES!C$61</f>
        <v>-1.1</v>
      </c>
      <c r="P43" s="108" t="n">
        <f aca="false">VALUES!D$61</f>
        <v>-1.1</v>
      </c>
      <c r="Q43" s="108" t="n">
        <f aca="false">VALUES!E$61</f>
        <v>0</v>
      </c>
      <c r="R43" s="108" t="n">
        <f aca="false">VALUES!F$61</f>
        <v>1.1</v>
      </c>
      <c r="S43" s="108" t="n">
        <f aca="false">VALUES!G$61</f>
        <v>2.2</v>
      </c>
      <c r="T43" s="108" t="n">
        <f aca="false">VALUES!H$61</f>
        <v>3.9</v>
      </c>
      <c r="U43" s="108" t="n">
        <f aca="false">VALUES!I$61</f>
        <v>5</v>
      </c>
      <c r="V43" s="108" t="n">
        <f aca="false">VALUES!J$61</f>
        <v>6.7</v>
      </c>
      <c r="W43" s="108" t="n">
        <f aca="false">VALUES!K$61</f>
        <v>7.2</v>
      </c>
      <c r="X43" s="108" t="n">
        <f aca="false">VALUES!L$61</f>
        <v>7.8</v>
      </c>
      <c r="Y43" s="108" t="n">
        <f aca="false">VALUES!M$61</f>
        <v>7.8</v>
      </c>
      <c r="Z43" s="108" t="n">
        <f aca="false">VALUES!N$61</f>
        <v>7.2</v>
      </c>
      <c r="AA43" s="108" t="n">
        <f aca="false">VALUES!O$61</f>
        <v>6.7</v>
      </c>
    </row>
    <row r="44" customFormat="false" ht="12.8" hidden="false" customHeight="true" outlineLevel="0" collapsed="false">
      <c r="A44" s="79" t="n">
        <v>17</v>
      </c>
      <c r="B44" s="80" t="s">
        <v>148</v>
      </c>
      <c r="C44" s="80"/>
      <c r="D44" s="80"/>
      <c r="E44" s="80"/>
      <c r="F44" s="87" t="n">
        <f aca="false">(7+7+3.7)*4.2</f>
        <v>74.34</v>
      </c>
      <c r="G44" s="87" t="n">
        <v>2.28</v>
      </c>
      <c r="H44" s="102" t="n">
        <f aca="false">$D$9-$E$9-3</f>
        <v>9.2</v>
      </c>
      <c r="I44" s="103" t="n">
        <f aca="false">F44*G44*H44</f>
        <v>1559.35584</v>
      </c>
      <c r="J44" s="102" t="n">
        <f aca="false">$D$15-$E$15-3</f>
        <v>4.3</v>
      </c>
      <c r="K44" s="103" t="n">
        <f aca="false">F44*G44*J44</f>
        <v>728.82936</v>
      </c>
      <c r="L44" s="72"/>
      <c r="M44" s="111"/>
      <c r="N44" s="111"/>
    </row>
    <row r="45" customFormat="false" ht="13.05" hidden="false" customHeight="true" outlineLevel="0" collapsed="false">
      <c r="A45" s="79" t="n">
        <v>18</v>
      </c>
      <c r="B45" s="80" t="s">
        <v>149</v>
      </c>
      <c r="C45" s="80"/>
      <c r="D45" s="80"/>
      <c r="E45" s="80"/>
      <c r="F45" s="87"/>
      <c r="G45" s="87" t="n">
        <v>7.1</v>
      </c>
      <c r="H45" s="102" t="n">
        <f aca="false">$D$9-$E$9-3</f>
        <v>9.2</v>
      </c>
      <c r="I45" s="103" t="n">
        <f aca="false">F45*G45*H45</f>
        <v>0</v>
      </c>
      <c r="J45" s="102" t="n">
        <f aca="false">$D$15-$E$15-3</f>
        <v>4.3</v>
      </c>
      <c r="K45" s="103" t="n">
        <f aca="false">F45*G45*J45</f>
        <v>0</v>
      </c>
      <c r="L45" s="72"/>
      <c r="M45" s="111"/>
      <c r="N45" s="111"/>
    </row>
    <row r="46" customFormat="false" ht="12.8" hidden="false" customHeight="true" outlineLevel="0" collapsed="false">
      <c r="A46" s="79" t="n">
        <v>19</v>
      </c>
      <c r="B46" s="80" t="s">
        <v>150</v>
      </c>
      <c r="C46" s="80"/>
      <c r="D46" s="80"/>
      <c r="E46" s="80"/>
      <c r="F46" s="87"/>
      <c r="G46" s="87" t="n">
        <v>3.19</v>
      </c>
      <c r="H46" s="102" t="n">
        <f aca="false">$D$9-$E$9-3</f>
        <v>9.2</v>
      </c>
      <c r="I46" s="103" t="n">
        <f aca="false">F46*G46*H46</f>
        <v>0</v>
      </c>
      <c r="J46" s="102" t="n">
        <f aca="false">$D$15-$E$15-3</f>
        <v>4.3</v>
      </c>
      <c r="K46" s="103" t="n">
        <f aca="false">F46*G46*J46</f>
        <v>0</v>
      </c>
      <c r="L46" s="72"/>
      <c r="M46" s="111"/>
      <c r="N46" s="111"/>
    </row>
    <row r="47" customFormat="false" ht="13.05" hidden="false" customHeight="true" outlineLevel="0" collapsed="false">
      <c r="A47" s="79" t="n">
        <v>20</v>
      </c>
      <c r="B47" s="80" t="s">
        <v>151</v>
      </c>
      <c r="C47" s="80"/>
      <c r="D47" s="80"/>
      <c r="E47" s="80"/>
      <c r="F47" s="87"/>
      <c r="G47" s="87" t="n">
        <v>0.7</v>
      </c>
      <c r="H47" s="102" t="n">
        <f aca="false">VALUES!$F$39+(25.6-$E$9)+($D$9-0.5*$F$12-29.4)</f>
        <v>28.65</v>
      </c>
      <c r="I47" s="103" t="n">
        <f aca="false">F47*G47*H47</f>
        <v>0</v>
      </c>
      <c r="J47" s="102" t="n">
        <f aca="false">VALUES!$I$39+(25.6-$E$15)+($D$15-0.5*$F$18-29.4)</f>
        <v>22.75</v>
      </c>
      <c r="K47" s="103" t="n">
        <f aca="false">F47*G47*J47</f>
        <v>0</v>
      </c>
      <c r="M47" s="111"/>
      <c r="N47" s="111"/>
    </row>
    <row r="48" customFormat="false" ht="24.25" hidden="false" customHeight="true" outlineLevel="0" collapsed="false">
      <c r="A48" s="79" t="n">
        <v>21</v>
      </c>
      <c r="B48" s="80" t="s">
        <v>152</v>
      </c>
      <c r="C48" s="80"/>
      <c r="D48" s="80"/>
      <c r="E48" s="80"/>
      <c r="F48" s="87" t="n">
        <f aca="false">B85</f>
        <v>25.9</v>
      </c>
      <c r="G48" s="87" t="n">
        <v>3.19</v>
      </c>
      <c r="H48" s="102" t="n">
        <f aca="false">$D$9-$E$9-3</f>
        <v>9.2</v>
      </c>
      <c r="I48" s="103" t="n">
        <f aca="false">F48*G48*H48</f>
        <v>760.1132</v>
      </c>
      <c r="J48" s="102" t="n">
        <f aca="false">$D$15-$E$15-3</f>
        <v>4.3</v>
      </c>
      <c r="K48" s="103" t="n">
        <f aca="false">F48*G48*J48</f>
        <v>355.2703</v>
      </c>
      <c r="M48" s="111"/>
      <c r="N48" s="111"/>
    </row>
    <row r="49" customFormat="false" ht="13.05" hidden="false" customHeight="true" outlineLevel="0" collapsed="false">
      <c r="A49" s="79" t="n">
        <v>22</v>
      </c>
      <c r="B49" s="80" t="s">
        <v>153</v>
      </c>
      <c r="C49" s="80"/>
      <c r="D49" s="80"/>
      <c r="E49" s="80"/>
      <c r="F49" s="87"/>
      <c r="G49" s="87" t="n">
        <v>5.23</v>
      </c>
      <c r="H49" s="102" t="n">
        <f aca="false">M49+(25.6-$E$9)+($D$9-0.5*$F$12-29.4)</f>
        <v>8.15000000000001</v>
      </c>
      <c r="I49" s="103" t="n">
        <f aca="false">F49*G49*H49</f>
        <v>0</v>
      </c>
      <c r="J49" s="102" t="n">
        <f aca="false">N49+(25.6-$E$15)+($D$15-0.5*$F$18-29.4)</f>
        <v>3.25</v>
      </c>
      <c r="K49" s="103" t="n">
        <f aca="false">F49*G49*J49</f>
        <v>0</v>
      </c>
      <c r="M49" s="109" t="n">
        <f aca="false">INDEX(O49:AA49,1,MATCH(MAX($O$64:$AA$64),$O$64:$AA$64,0))</f>
        <v>5</v>
      </c>
      <c r="N49" s="110" t="n">
        <f aca="false">INDEX(O49:AA49,1,MATCH(MAX($O$65:$AA$65),$O$65:$AA$65,0))</f>
        <v>5</v>
      </c>
      <c r="O49" s="108" t="n">
        <f aca="false">VALUES!C$61</f>
        <v>-1.1</v>
      </c>
      <c r="P49" s="108" t="n">
        <f aca="false">VALUES!D$61</f>
        <v>-1.1</v>
      </c>
      <c r="Q49" s="108" t="n">
        <f aca="false">VALUES!E$61</f>
        <v>0</v>
      </c>
      <c r="R49" s="108" t="n">
        <f aca="false">VALUES!F$61</f>
        <v>1.1</v>
      </c>
      <c r="S49" s="108" t="n">
        <f aca="false">VALUES!G$61</f>
        <v>2.2</v>
      </c>
      <c r="T49" s="108" t="n">
        <f aca="false">VALUES!H$61</f>
        <v>3.9</v>
      </c>
      <c r="U49" s="108" t="n">
        <f aca="false">VALUES!I$61</f>
        <v>5</v>
      </c>
      <c r="V49" s="108" t="n">
        <f aca="false">VALUES!J$61</f>
        <v>6.7</v>
      </c>
      <c r="W49" s="108" t="n">
        <f aca="false">VALUES!K$61</f>
        <v>7.2</v>
      </c>
      <c r="X49" s="108" t="n">
        <f aca="false">VALUES!L$61</f>
        <v>7.8</v>
      </c>
      <c r="Y49" s="108" t="n">
        <f aca="false">VALUES!M$61</f>
        <v>7.8</v>
      </c>
      <c r="Z49" s="108" t="n">
        <f aca="false">VALUES!N$61</f>
        <v>7.2</v>
      </c>
      <c r="AA49" s="108" t="n">
        <f aca="false">VALUES!O$61</f>
        <v>6.7</v>
      </c>
    </row>
    <row r="50" customFormat="false" ht="13.05" hidden="false" customHeight="true" outlineLevel="0" collapsed="false">
      <c r="A50" s="79" t="n">
        <v>23</v>
      </c>
      <c r="B50" s="82" t="s">
        <v>154</v>
      </c>
      <c r="C50" s="82"/>
      <c r="D50" s="82"/>
      <c r="E50" s="82"/>
      <c r="F50" s="87"/>
      <c r="G50" s="87"/>
      <c r="H50" s="87"/>
      <c r="I50" s="103" t="n">
        <f aca="false">F50*G50*H50</f>
        <v>0</v>
      </c>
      <c r="J50" s="87"/>
      <c r="K50" s="103" t="n">
        <f aca="false">F50*G50*J50</f>
        <v>0</v>
      </c>
      <c r="L50" s="72"/>
      <c r="M50" s="111"/>
      <c r="N50" s="111"/>
    </row>
    <row r="51" s="117" customFormat="true" ht="13.05" hidden="false" customHeight="true" outlineLevel="0" collapsed="false">
      <c r="A51" s="112" t="s">
        <v>22</v>
      </c>
      <c r="B51" s="113" t="s">
        <v>155</v>
      </c>
      <c r="C51" s="113"/>
      <c r="D51" s="113"/>
      <c r="E51" s="113"/>
      <c r="F51" s="112"/>
      <c r="G51" s="112"/>
      <c r="H51" s="112"/>
      <c r="I51" s="114" t="n">
        <f aca="false">SUM(I28:I50)</f>
        <v>2835.293699</v>
      </c>
      <c r="J51" s="112"/>
      <c r="K51" s="114" t="n">
        <f aca="false">SUM(K28:K50)</f>
        <v>1540.684285</v>
      </c>
      <c r="L51" s="115"/>
      <c r="M51" s="116"/>
      <c r="N51" s="116"/>
      <c r="AMJ51" s="71"/>
    </row>
    <row r="52" s="117" customFormat="true" ht="12.8" hidden="false" customHeight="false" outlineLevel="0" collapsed="false">
      <c r="M52" s="116"/>
      <c r="N52" s="116"/>
    </row>
    <row r="53" customFormat="false" ht="13.05" hidden="false" customHeight="true" outlineLevel="0" collapsed="false">
      <c r="A53" s="101" t="s">
        <v>156</v>
      </c>
      <c r="B53" s="72"/>
      <c r="C53" s="72"/>
      <c r="D53" s="72"/>
      <c r="E53" s="72"/>
      <c r="F53" s="118" t="s">
        <v>97</v>
      </c>
      <c r="G53" s="118"/>
      <c r="H53" s="118"/>
      <c r="I53" s="119" t="s">
        <v>107</v>
      </c>
      <c r="J53" s="119"/>
      <c r="K53" s="119"/>
      <c r="L53" s="105"/>
      <c r="M53" s="120"/>
      <c r="N53" s="121"/>
    </row>
    <row r="54" customFormat="false" ht="35.4" hidden="false" customHeight="true" outlineLevel="0" collapsed="false">
      <c r="A54" s="118" t="s">
        <v>157</v>
      </c>
      <c r="B54" s="118" t="s">
        <v>121</v>
      </c>
      <c r="C54" s="118"/>
      <c r="D54" s="118" t="s">
        <v>158</v>
      </c>
      <c r="E54" s="118" t="s">
        <v>159</v>
      </c>
      <c r="F54" s="118" t="s">
        <v>160</v>
      </c>
      <c r="G54" s="118" t="s">
        <v>161</v>
      </c>
      <c r="H54" s="118" t="s">
        <v>162</v>
      </c>
      <c r="I54" s="118" t="s">
        <v>160</v>
      </c>
      <c r="J54" s="118" t="s">
        <v>161</v>
      </c>
      <c r="K54" s="118" t="s">
        <v>162</v>
      </c>
      <c r="L54" s="122" t="s">
        <v>163</v>
      </c>
      <c r="M54" s="123" t="n">
        <f aca="false">INDEX(O54:AA54,1,MATCH(MAX($O$64:$AA$64),$O$64:$AA$64,0))</f>
        <v>12</v>
      </c>
      <c r="N54" s="123" t="n">
        <f aca="false">INDEX(O54:AA54,1,MATCH(MAX($O$65:$AA$65),$O$65:$AA$65,0))</f>
        <v>12</v>
      </c>
      <c r="O54" s="104" t="n">
        <f aca="false">VALUES!$C$21</f>
        <v>6</v>
      </c>
      <c r="P54" s="104" t="n">
        <f aca="false">VALUES!$D$21</f>
        <v>7</v>
      </c>
      <c r="Q54" s="104" t="n">
        <f aca="false">VALUES!$E$21</f>
        <v>8</v>
      </c>
      <c r="R54" s="104" t="n">
        <f aca="false">VALUES!$F$21</f>
        <v>9</v>
      </c>
      <c r="S54" s="104" t="n">
        <f aca="false">VALUES!$G$21</f>
        <v>10</v>
      </c>
      <c r="T54" s="104" t="n">
        <f aca="false">VALUES!$H$21</f>
        <v>11</v>
      </c>
      <c r="U54" s="104" t="n">
        <f aca="false">VALUES!$I$21</f>
        <v>12</v>
      </c>
      <c r="V54" s="104" t="n">
        <f aca="false">VALUES!$J$21</f>
        <v>13</v>
      </c>
      <c r="W54" s="104" t="n">
        <f aca="false">VALUES!$K$21</f>
        <v>14</v>
      </c>
      <c r="X54" s="104" t="n">
        <f aca="false">VALUES!$L$21</f>
        <v>15</v>
      </c>
      <c r="Y54" s="104" t="n">
        <f aca="false">VALUES!$M$21</f>
        <v>16</v>
      </c>
      <c r="Z54" s="104" t="n">
        <f aca="false">VALUES!$N$21</f>
        <v>17</v>
      </c>
      <c r="AA54" s="104" t="n">
        <f aca="false">VALUES!$O$21</f>
        <v>18</v>
      </c>
    </row>
    <row r="55" customFormat="false" ht="13.05" hidden="false" customHeight="true" outlineLevel="0" collapsed="false">
      <c r="A55" s="79" t="n">
        <v>1</v>
      </c>
      <c r="B55" s="124" t="s">
        <v>140</v>
      </c>
      <c r="C55" s="124"/>
      <c r="D55" s="79" t="n">
        <f aca="false">F36</f>
        <v>0</v>
      </c>
      <c r="E55" s="87" t="n">
        <v>0.7</v>
      </c>
      <c r="F55" s="102" t="n">
        <f aca="false">M55</f>
        <v>0.89</v>
      </c>
      <c r="G55" s="79" t="n">
        <f aca="false">VALUES!$D$8</f>
        <v>237</v>
      </c>
      <c r="H55" s="125" t="n">
        <f aca="false">D55*G55*E55*F55</f>
        <v>0</v>
      </c>
      <c r="I55" s="102" t="n">
        <f aca="false">N55</f>
        <v>0.89</v>
      </c>
      <c r="J55" s="79" t="n">
        <f aca="false">VALUES!$F$8</f>
        <v>101</v>
      </c>
      <c r="K55" s="103" t="n">
        <f aca="false">D55*E55*I55*J55</f>
        <v>0</v>
      </c>
      <c r="L55" s="105"/>
      <c r="M55" s="109" t="n">
        <f aca="false">INDEX(O55:AA55,1,MATCH(MAX($O$64:$AA$64),$O$64:$AA$64,0))</f>
        <v>0.89</v>
      </c>
      <c r="N55" s="106" t="n">
        <f aca="false">INDEX(O55:AA55,1,MATCH(MAX($O$65:$AA$65),$O$65:$AA$65,0))</f>
        <v>0.89</v>
      </c>
      <c r="O55" s="70" t="n">
        <f aca="false">VALUES!$C$23</f>
        <v>0.73</v>
      </c>
      <c r="P55" s="70" t="n">
        <f aca="false">VALUES!$D$23</f>
        <v>0.66</v>
      </c>
      <c r="Q55" s="70" t="n">
        <f aca="false">VALUES!$E$23</f>
        <v>0.65</v>
      </c>
      <c r="R55" s="70" t="n">
        <f aca="false">VALUES!$F$23</f>
        <v>0.73</v>
      </c>
      <c r="S55" s="70" t="n">
        <f aca="false">VALUES!$G$23</f>
        <v>0.8</v>
      </c>
      <c r="T55" s="70" t="n">
        <f aca="false">VALUES!$H$23</f>
        <v>0.86</v>
      </c>
      <c r="U55" s="70" t="n">
        <f aca="false">VALUES!$I$23</f>
        <v>0.89</v>
      </c>
      <c r="V55" s="70" t="n">
        <f aca="false">VALUES!$J$23</f>
        <v>0.89</v>
      </c>
      <c r="W55" s="70" t="n">
        <f aca="false">VALUES!$K$23</f>
        <v>0.86</v>
      </c>
      <c r="X55" s="70" t="n">
        <f aca="false">VALUES!$L$23</f>
        <v>0.82</v>
      </c>
      <c r="Y55" s="70" t="n">
        <f aca="false">VALUES!$M$23</f>
        <v>0.75</v>
      </c>
      <c r="Z55" s="70" t="n">
        <f aca="false">VALUES!$N$23</f>
        <v>0.78</v>
      </c>
      <c r="AA55" s="70" t="n">
        <f aca="false">VALUES!$O$23</f>
        <v>0.91</v>
      </c>
    </row>
    <row r="56" customFormat="false" ht="13.05" hidden="false" customHeight="true" outlineLevel="0" collapsed="false">
      <c r="A56" s="79" t="n">
        <v>2</v>
      </c>
      <c r="B56" s="124" t="s">
        <v>141</v>
      </c>
      <c r="C56" s="124"/>
      <c r="D56" s="79" t="n">
        <f aca="false">F37</f>
        <v>0</v>
      </c>
      <c r="E56" s="87" t="n">
        <v>0.7</v>
      </c>
      <c r="F56" s="102" t="n">
        <f aca="false">M56</f>
        <v>0.27</v>
      </c>
      <c r="G56" s="79" t="n">
        <f aca="false">VALUES!$D$9</f>
        <v>625</v>
      </c>
      <c r="H56" s="103" t="n">
        <f aca="false">D56*G56*E56*F56</f>
        <v>0</v>
      </c>
      <c r="I56" s="102" t="n">
        <f aca="false">N56</f>
        <v>0.27</v>
      </c>
      <c r="J56" s="79" t="n">
        <f aca="false">VALUES!$F$9</f>
        <v>199</v>
      </c>
      <c r="K56" s="103" t="n">
        <f aca="false">D56*E56*I56*J56</f>
        <v>0</v>
      </c>
      <c r="L56" s="105"/>
      <c r="M56" s="109" t="n">
        <f aca="false">INDEX(O56:AA56,1,MATCH(MAX($O$64:$AA$64),$O$64:$AA$64,0))</f>
        <v>0.27</v>
      </c>
      <c r="N56" s="109" t="n">
        <f aca="false">INDEX(O56:AA56,1,MATCH(MAX($O$65:$AA$65),$O$65:$AA$65,0))</f>
        <v>0.27</v>
      </c>
      <c r="O56" s="70" t="n">
        <f aca="false">VALUES!$C$24</f>
        <v>0.56</v>
      </c>
      <c r="P56" s="70" t="n">
        <f aca="false">VALUES!$D$24</f>
        <v>0.76</v>
      </c>
      <c r="Q56" s="70" t="n">
        <f aca="false">VALUES!$E$24</f>
        <v>0.74</v>
      </c>
      <c r="R56" s="70" t="n">
        <f aca="false">VALUES!$F$24</f>
        <v>0.58</v>
      </c>
      <c r="S56" s="70" t="n">
        <f aca="false">VALUES!$G$24</f>
        <v>0.37</v>
      </c>
      <c r="T56" s="70" t="n">
        <f aca="false">VALUES!$H$24</f>
        <v>0.29</v>
      </c>
      <c r="U56" s="70" t="n">
        <f aca="false">VALUES!$I$24</f>
        <v>0.27</v>
      </c>
      <c r="V56" s="70" t="n">
        <f aca="false">VALUES!$J$24</f>
        <v>0.26</v>
      </c>
      <c r="W56" s="70" t="n">
        <f aca="false">VALUES!$K$24</f>
        <v>0.24</v>
      </c>
      <c r="X56" s="70" t="n">
        <f aca="false">VALUES!$L$24</f>
        <v>0.22</v>
      </c>
      <c r="Y56" s="70" t="n">
        <f aca="false">VALUES!$M$24</f>
        <v>0.2</v>
      </c>
      <c r="Z56" s="70" t="n">
        <f aca="false">VALUES!$N$24</f>
        <v>0.16</v>
      </c>
      <c r="AA56" s="70" t="n">
        <f aca="false">VALUES!$O$24</f>
        <v>0.12</v>
      </c>
    </row>
    <row r="57" customFormat="false" ht="13.05" hidden="false" customHeight="true" outlineLevel="0" collapsed="false">
      <c r="A57" s="79" t="n">
        <v>3</v>
      </c>
      <c r="B57" s="124" t="s">
        <v>142</v>
      </c>
      <c r="C57" s="124"/>
      <c r="D57" s="79" t="n">
        <f aca="false">F38</f>
        <v>0</v>
      </c>
      <c r="E57" s="87" t="n">
        <v>0.7</v>
      </c>
      <c r="F57" s="102" t="n">
        <f aca="false">M57</f>
        <v>0.27</v>
      </c>
      <c r="G57" s="79" t="n">
        <f aca="false">VALUES!$D$10</f>
        <v>644</v>
      </c>
      <c r="H57" s="103" t="n">
        <f aca="false">D57*G57*E57*F57</f>
        <v>0</v>
      </c>
      <c r="I57" s="102" t="n">
        <f aca="false">N57</f>
        <v>0.27</v>
      </c>
      <c r="J57" s="79" t="n">
        <f aca="false">VALUES!$F$10</f>
        <v>675</v>
      </c>
      <c r="K57" s="103" t="n">
        <f aca="false">D57*E57*I57*J57</f>
        <v>0</v>
      </c>
      <c r="L57" s="105"/>
      <c r="M57" s="109" t="n">
        <f aca="false">INDEX(O57:AA57,1,MATCH(MAX($O$64:$AA$64),$O$64:$AA$64,0))</f>
        <v>0.27</v>
      </c>
      <c r="N57" s="109" t="n">
        <f aca="false">INDEX(O57:AA57,1,MATCH(MAX($O$65:$AA$65),$O$65:$AA$65,0))</f>
        <v>0.27</v>
      </c>
      <c r="O57" s="70" t="n">
        <f aca="false">VALUES!$C$25</f>
        <v>0.47</v>
      </c>
      <c r="P57" s="70" t="n">
        <f aca="false">VALUES!$D$25</f>
        <v>0.72</v>
      </c>
      <c r="Q57" s="70" t="n">
        <f aca="false">VALUES!$E$25</f>
        <v>0.8</v>
      </c>
      <c r="R57" s="70" t="n">
        <f aca="false">VALUES!$F$25</f>
        <v>0.76</v>
      </c>
      <c r="S57" s="70" t="n">
        <f aca="false">VALUES!$G$25</f>
        <v>0.62</v>
      </c>
      <c r="T57" s="70" t="n">
        <f aca="false">VALUES!$H$25</f>
        <v>0.41</v>
      </c>
      <c r="U57" s="70" t="n">
        <f aca="false">VALUES!$I$25</f>
        <v>0.27</v>
      </c>
      <c r="V57" s="70" t="n">
        <f aca="false">VALUES!$J$25</f>
        <v>0.26</v>
      </c>
      <c r="W57" s="70" t="n">
        <f aca="false">VALUES!$K$25</f>
        <v>0.24</v>
      </c>
      <c r="X57" s="70" t="n">
        <f aca="false">VALUES!$L$25</f>
        <v>0.22</v>
      </c>
      <c r="Y57" s="70" t="n">
        <f aca="false">VALUES!$M$25</f>
        <v>0.2</v>
      </c>
      <c r="Z57" s="70" t="n">
        <f aca="false">VALUES!$N$25</f>
        <v>0.16</v>
      </c>
      <c r="AA57" s="70" t="n">
        <f aca="false">VALUES!$O$25</f>
        <v>0.12</v>
      </c>
    </row>
    <row r="58" customFormat="false" ht="13.05" hidden="false" customHeight="true" outlineLevel="0" collapsed="false">
      <c r="A58" s="79" t="n">
        <v>4</v>
      </c>
      <c r="B58" s="124" t="s">
        <v>143</v>
      </c>
      <c r="C58" s="124"/>
      <c r="D58" s="79" t="n">
        <f aca="false">F39</f>
        <v>0</v>
      </c>
      <c r="E58" s="87" t="n">
        <v>0.7</v>
      </c>
      <c r="F58" s="102" t="n">
        <f aca="false">M58</f>
        <v>0.49</v>
      </c>
      <c r="G58" s="79" t="n">
        <f aca="false">VALUES!$D$11</f>
        <v>284</v>
      </c>
      <c r="H58" s="103" t="n">
        <f aca="false">D58*G58*E58*F58</f>
        <v>0</v>
      </c>
      <c r="I58" s="102" t="n">
        <f aca="false">N58</f>
        <v>0.49</v>
      </c>
      <c r="J58" s="79" t="n">
        <f aca="false">VALUES!$F$11</f>
        <v>767</v>
      </c>
      <c r="K58" s="103" t="n">
        <f aca="false">D58*E58*I58*J58</f>
        <v>0</v>
      </c>
      <c r="L58" s="105"/>
      <c r="M58" s="109" t="n">
        <f aca="false">INDEX(O58:AA58,1,MATCH(MAX($O$64:$AA$64),$O$64:$AA$64,0))</f>
        <v>0.49</v>
      </c>
      <c r="N58" s="109" t="n">
        <f aca="false">INDEX(O58:AA58,1,MATCH(MAX($O$65:$AA$65),$O$65:$AA$65,0))</f>
        <v>0.49</v>
      </c>
      <c r="O58" s="70" t="n">
        <f aca="false">VALUES!$C$26</f>
        <v>0.3</v>
      </c>
      <c r="P58" s="70" t="n">
        <f aca="false">VALUES!$D$26</f>
        <v>0.57</v>
      </c>
      <c r="Q58" s="70" t="n">
        <f aca="false">VALUES!$E$26</f>
        <v>0.74</v>
      </c>
      <c r="R58" s="70" t="n">
        <f aca="false">VALUES!$F$26</f>
        <v>0.81</v>
      </c>
      <c r="S58" s="70" t="n">
        <f aca="false">VALUES!$G$26</f>
        <v>0.79</v>
      </c>
      <c r="T58" s="70" t="n">
        <f aca="false">VALUES!$H$26</f>
        <v>0.68</v>
      </c>
      <c r="U58" s="70" t="n">
        <f aca="false">VALUES!$I$26</f>
        <v>0.49</v>
      </c>
      <c r="V58" s="70" t="n">
        <f aca="false">VALUES!$J$26</f>
        <v>0.33</v>
      </c>
      <c r="W58" s="70" t="n">
        <f aca="false">VALUES!$K$26</f>
        <v>0.28</v>
      </c>
      <c r="X58" s="70" t="n">
        <f aca="false">VALUES!$L$26</f>
        <v>0.25</v>
      </c>
      <c r="Y58" s="70" t="n">
        <f aca="false">VALUES!$M$26</f>
        <v>0.22</v>
      </c>
      <c r="Z58" s="70" t="n">
        <f aca="false">VALUES!$N$26</f>
        <v>0.18</v>
      </c>
      <c r="AA58" s="70" t="n">
        <f aca="false">VALUES!$O$26</f>
        <v>0.13</v>
      </c>
    </row>
    <row r="59" customFormat="false" ht="13.05" hidden="false" customHeight="true" outlineLevel="0" collapsed="false">
      <c r="A59" s="79" t="n">
        <v>5</v>
      </c>
      <c r="B59" s="124" t="s">
        <v>144</v>
      </c>
      <c r="C59" s="124"/>
      <c r="D59" s="79" t="n">
        <f aca="false">F40</f>
        <v>4.662</v>
      </c>
      <c r="E59" s="87" t="n">
        <v>0.7</v>
      </c>
      <c r="F59" s="102" t="n">
        <f aca="false">M59</f>
        <v>0.83</v>
      </c>
      <c r="G59" s="79" t="n">
        <f aca="false">VALUES!$D$12</f>
        <v>126</v>
      </c>
      <c r="H59" s="103" t="n">
        <f aca="false">D59*G59*E59*F59</f>
        <v>341.286372</v>
      </c>
      <c r="I59" s="102" t="n">
        <f aca="false">N59</f>
        <v>0.83</v>
      </c>
      <c r="J59" s="79" t="n">
        <f aca="false">VALUES!$F$12</f>
        <v>565</v>
      </c>
      <c r="K59" s="103" t="n">
        <f aca="false">D59*E59*I59*J59</f>
        <v>1530.37143</v>
      </c>
      <c r="L59" s="105"/>
      <c r="M59" s="109" t="n">
        <f aca="false">INDEX(O59:AA59,1,MATCH(MAX($O$64:$AA$64),$O$64:$AA$64,0))</f>
        <v>0.83</v>
      </c>
      <c r="N59" s="109" t="n">
        <f aca="false">INDEX(O59:AA59,1,MATCH(MAX($O$65:$AA$65),$O$65:$AA$65,0))</f>
        <v>0.83</v>
      </c>
      <c r="O59" s="70" t="n">
        <f aca="false">VALUES!$C$27</f>
        <v>0.09</v>
      </c>
      <c r="P59" s="70" t="n">
        <f aca="false">VALUES!$D$27</f>
        <v>0.16</v>
      </c>
      <c r="Q59" s="70" t="n">
        <f aca="false">VALUES!$E$27</f>
        <v>0.23</v>
      </c>
      <c r="R59" s="70" t="n">
        <f aca="false">VALUES!$F$27</f>
        <v>0.38</v>
      </c>
      <c r="S59" s="70" t="n">
        <f aca="false">VALUES!$G$27</f>
        <v>0.58</v>
      </c>
      <c r="T59" s="70" t="n">
        <f aca="false">VALUES!$H$27</f>
        <v>0.75</v>
      </c>
      <c r="U59" s="70" t="n">
        <f aca="false">VALUES!$I$27</f>
        <v>0.83</v>
      </c>
      <c r="V59" s="70" t="n">
        <f aca="false">VALUES!$J$27</f>
        <v>0.8</v>
      </c>
      <c r="W59" s="70" t="n">
        <f aca="false">VALUES!$K$27</f>
        <v>0.68</v>
      </c>
      <c r="X59" s="70" t="n">
        <f aca="false">VALUES!$L$27</f>
        <v>0.5</v>
      </c>
      <c r="Y59" s="70" t="n">
        <f aca="false">VALUES!$M$27</f>
        <v>0.35</v>
      </c>
      <c r="Z59" s="70" t="n">
        <f aca="false">VALUES!$N$27</f>
        <v>0.27</v>
      </c>
      <c r="AA59" s="70" t="n">
        <f aca="false">VALUES!$O$27</f>
        <v>0.19</v>
      </c>
    </row>
    <row r="60" customFormat="false" ht="13.05" hidden="false" customHeight="true" outlineLevel="0" collapsed="false">
      <c r="A60" s="79" t="n">
        <v>6</v>
      </c>
      <c r="B60" s="124" t="s">
        <v>145</v>
      </c>
      <c r="C60" s="124"/>
      <c r="D60" s="79" t="n">
        <f aca="false">F41</f>
        <v>0</v>
      </c>
      <c r="E60" s="87" t="n">
        <v>0.7</v>
      </c>
      <c r="F60" s="102" t="n">
        <f aca="false">M60</f>
        <v>0.38</v>
      </c>
      <c r="G60" s="79" t="n">
        <f aca="false">VALUES!$D$13</f>
        <v>284</v>
      </c>
      <c r="H60" s="103" t="n">
        <f aca="false">D60*G60*E60*F60</f>
        <v>0</v>
      </c>
      <c r="I60" s="102" t="n">
        <f aca="false">N60</f>
        <v>0.38</v>
      </c>
      <c r="J60" s="79" t="n">
        <f aca="false">VALUES!$F$13</f>
        <v>767</v>
      </c>
      <c r="K60" s="103" t="n">
        <f aca="false">D60*E60*I60*J60</f>
        <v>0</v>
      </c>
      <c r="L60" s="105"/>
      <c r="M60" s="109" t="n">
        <f aca="false">INDEX(O60:AA60,1,MATCH(MAX($O$64:$AA$64),$O$64:$AA$64,0))</f>
        <v>0.38</v>
      </c>
      <c r="N60" s="109" t="n">
        <f aca="false">INDEX(O60:AA60,1,MATCH(MAX($O$65:$AA$65),$O$65:$AA$65,0))</f>
        <v>0.38</v>
      </c>
      <c r="O60" s="70" t="n">
        <f aca="false">VALUES!$C$28</f>
        <v>0.07</v>
      </c>
      <c r="P60" s="70" t="n">
        <f aca="false">VALUES!$D$28</f>
        <v>0.11</v>
      </c>
      <c r="Q60" s="70" t="n">
        <f aca="false">VALUES!$E$28</f>
        <v>0.14</v>
      </c>
      <c r="R60" s="70" t="n">
        <f aca="false">VALUES!$F$28</f>
        <v>0.16</v>
      </c>
      <c r="S60" s="70" t="n">
        <f aca="false">VALUES!$G$28</f>
        <v>0.19</v>
      </c>
      <c r="T60" s="70" t="n">
        <f aca="false">VALUES!$H$28</f>
        <v>0.22</v>
      </c>
      <c r="U60" s="70" t="n">
        <f aca="false">VALUES!$I$28</f>
        <v>0.38</v>
      </c>
      <c r="V60" s="70" t="n">
        <f aca="false">VALUES!$J$28</f>
        <v>0.59</v>
      </c>
      <c r="W60" s="70" t="n">
        <f aca="false">VALUES!$K$28</f>
        <v>0.75</v>
      </c>
      <c r="X60" s="70" t="n">
        <f aca="false">VALUES!$L$28</f>
        <v>0.83</v>
      </c>
      <c r="Y60" s="70" t="n">
        <f aca="false">VALUES!$M$28</f>
        <v>0.81</v>
      </c>
      <c r="Z60" s="70" t="n">
        <f aca="false">VALUES!$N$28</f>
        <v>0.69</v>
      </c>
      <c r="AA60" s="70" t="n">
        <f aca="false">VALUES!$O$28</f>
        <v>0.45</v>
      </c>
    </row>
    <row r="61" customFormat="false" ht="13.05" hidden="false" customHeight="true" outlineLevel="0" collapsed="false">
      <c r="A61" s="79" t="n">
        <v>7</v>
      </c>
      <c r="B61" s="124" t="s">
        <v>146</v>
      </c>
      <c r="C61" s="124"/>
      <c r="D61" s="79" t="n">
        <f aca="false">F42</f>
        <v>0</v>
      </c>
      <c r="E61" s="87" t="n">
        <v>0.7</v>
      </c>
      <c r="F61" s="102" t="n">
        <f aca="false">M61</f>
        <v>0.17</v>
      </c>
      <c r="G61" s="79" t="n">
        <f aca="false">VALUES!$D$14</f>
        <v>644</v>
      </c>
      <c r="H61" s="103" t="n">
        <f aca="false">D61*G61*E61*F61</f>
        <v>0</v>
      </c>
      <c r="I61" s="102" t="n">
        <f aca="false">N61</f>
        <v>0.17</v>
      </c>
      <c r="J61" s="79" t="n">
        <f aca="false">VALUES!$F$14</f>
        <v>675</v>
      </c>
      <c r="K61" s="103" t="n">
        <f aca="false">D61*E61*I61*J61</f>
        <v>0</v>
      </c>
      <c r="L61" s="105"/>
      <c r="M61" s="109" t="n">
        <f aca="false">INDEX(O61:AA61,1,MATCH(MAX($O$64:$AA$64),$O$64:$AA$64,0))</f>
        <v>0.17</v>
      </c>
      <c r="N61" s="109" t="n">
        <f aca="false">INDEX(O61:AA61,1,MATCH(MAX($O$65:$AA$65),$O$65:$AA$65,0))</f>
        <v>0.17</v>
      </c>
      <c r="O61" s="70" t="n">
        <f aca="false">VALUES!$C$29</f>
        <v>0.06</v>
      </c>
      <c r="P61" s="70" t="n">
        <f aca="false">VALUES!$D$29</f>
        <v>0.09</v>
      </c>
      <c r="Q61" s="70" t="n">
        <f aca="false">VALUES!$E$29</f>
        <v>0.11</v>
      </c>
      <c r="R61" s="70" t="n">
        <f aca="false">VALUES!$F$29</f>
        <v>0.13</v>
      </c>
      <c r="S61" s="70" t="n">
        <f aca="false">VALUES!$G$29</f>
        <v>0.15</v>
      </c>
      <c r="T61" s="70" t="n">
        <f aca="false">VALUES!$H$29</f>
        <v>0.16</v>
      </c>
      <c r="U61" s="70" t="n">
        <f aca="false">VALUES!$I$29</f>
        <v>0.17</v>
      </c>
      <c r="V61" s="70" t="n">
        <f aca="false">VALUES!$J$29</f>
        <v>0.31</v>
      </c>
      <c r="W61" s="70" t="n">
        <f aca="false">VALUES!$K$29</f>
        <v>0.53</v>
      </c>
      <c r="X61" s="70" t="n">
        <f aca="false">VALUES!$L$29</f>
        <v>0.72</v>
      </c>
      <c r="Y61" s="70" t="n">
        <f aca="false">VALUES!$M$29</f>
        <v>0.82</v>
      </c>
      <c r="Z61" s="70" t="n">
        <f aca="false">VALUES!$N$29</f>
        <v>0.81</v>
      </c>
      <c r="AA61" s="70" t="n">
        <f aca="false">VALUES!$O$29</f>
        <v>0.61</v>
      </c>
    </row>
    <row r="62" customFormat="false" ht="13.05" hidden="false" customHeight="true" outlineLevel="0" collapsed="false">
      <c r="A62" s="79" t="n">
        <v>8</v>
      </c>
      <c r="B62" s="124" t="s">
        <v>147</v>
      </c>
      <c r="C62" s="124"/>
      <c r="D62" s="79" t="n">
        <f aca="false">F43</f>
        <v>0</v>
      </c>
      <c r="E62" s="87" t="n">
        <v>0.7</v>
      </c>
      <c r="F62" s="102" t="n">
        <f aca="false">M62</f>
        <v>0.21</v>
      </c>
      <c r="G62" s="79" t="n">
        <f aca="false">VALUES!$D$15</f>
        <v>625</v>
      </c>
      <c r="H62" s="103" t="n">
        <f aca="false">D62*G62*E62*F62</f>
        <v>0</v>
      </c>
      <c r="I62" s="102" t="n">
        <f aca="false">N62</f>
        <v>0.21</v>
      </c>
      <c r="J62" s="79" t="n">
        <f aca="false">VALUES!$F$15</f>
        <v>199</v>
      </c>
      <c r="K62" s="103" t="n">
        <f aca="false">D62*E62*I62*J62</f>
        <v>0</v>
      </c>
      <c r="L62" s="105"/>
      <c r="M62" s="109" t="n">
        <f aca="false">INDEX(O62:AA62,1,MATCH(MAX($O$64:$AA$64),$O$64:$AA$64,0))</f>
        <v>0.21</v>
      </c>
      <c r="N62" s="109" t="n">
        <f aca="false">INDEX(O62:AA62,1,MATCH(MAX($O$65:$AA$65),$O$65:$AA$65,0))</f>
        <v>0.21</v>
      </c>
      <c r="O62" s="70" t="n">
        <f aca="false">VALUES!$C$30</f>
        <v>0.07</v>
      </c>
      <c r="P62" s="70" t="n">
        <f aca="false">VALUES!$D$30</f>
        <v>0.11</v>
      </c>
      <c r="Q62" s="70" t="n">
        <f aca="false">VALUES!$E$30</f>
        <v>0.14</v>
      </c>
      <c r="R62" s="70" t="n">
        <f aca="false">VALUES!$F$30</f>
        <v>0.17</v>
      </c>
      <c r="S62" s="70" t="n">
        <f aca="false">VALUES!$G$30</f>
        <v>0.19</v>
      </c>
      <c r="T62" s="70" t="n">
        <f aca="false">VALUES!$H$30</f>
        <v>0.2</v>
      </c>
      <c r="U62" s="70" t="n">
        <f aca="false">VALUES!$I$30</f>
        <v>0.21</v>
      </c>
      <c r="V62" s="70" t="n">
        <f aca="false">VALUES!$J$30</f>
        <v>0.22</v>
      </c>
      <c r="W62" s="70" t="n">
        <f aca="false">VALUES!$K$30</f>
        <v>0.3</v>
      </c>
      <c r="X62" s="70" t="n">
        <f aca="false">VALUES!$L$30</f>
        <v>0.52</v>
      </c>
      <c r="Y62" s="70" t="n">
        <f aca="false">VALUES!$M$30</f>
        <v>0.73</v>
      </c>
      <c r="Z62" s="70" t="n">
        <f aca="false">VALUES!$N$30</f>
        <v>0.82</v>
      </c>
      <c r="AA62" s="70" t="n">
        <f aca="false">VALUES!$O$30</f>
        <v>0.69</v>
      </c>
    </row>
    <row r="63" customFormat="false" ht="13.05" hidden="false" customHeight="true" outlineLevel="0" collapsed="false">
      <c r="A63" s="79" t="n">
        <v>9</v>
      </c>
      <c r="B63" s="124" t="s">
        <v>164</v>
      </c>
      <c r="C63" s="124"/>
      <c r="D63" s="79" t="n">
        <f aca="false">F49</f>
        <v>0</v>
      </c>
      <c r="E63" s="87" t="n">
        <v>0.6</v>
      </c>
      <c r="F63" s="102" t="n">
        <f aca="false">M63</f>
        <v>0.85</v>
      </c>
      <c r="G63" s="79" t="n">
        <f aca="false">VALUES!$D$16</f>
        <v>864</v>
      </c>
      <c r="H63" s="103" t="n">
        <f aca="false">D63*G63*E63*F63</f>
        <v>0</v>
      </c>
      <c r="I63" s="102" t="n">
        <f aca="false">N63</f>
        <v>0.85</v>
      </c>
      <c r="J63" s="79" t="n">
        <f aca="false">VALUES!$F$16</f>
        <v>820</v>
      </c>
      <c r="K63" s="103" t="n">
        <f aca="false">D63*E63*I63*J63</f>
        <v>0</v>
      </c>
      <c r="L63" s="105"/>
      <c r="M63" s="109" t="n">
        <f aca="false">INDEX(O63:AA63,1,MATCH(MAX($O$64:$AA$64),$O$64:$AA$64,0))</f>
        <v>0.85</v>
      </c>
      <c r="N63" s="109" t="n">
        <f aca="false">INDEX(O63:AA63,1,MATCH(MAX($O$65:$AA$65),$O$65:$AA$65,0))</f>
        <v>0.85</v>
      </c>
      <c r="O63" s="70" t="n">
        <f aca="false">VALUES!$C$31</f>
        <v>0.12</v>
      </c>
      <c r="P63" s="70" t="n">
        <f aca="false">VALUES!$D$31</f>
        <v>0.27</v>
      </c>
      <c r="Q63" s="70" t="n">
        <f aca="false">VALUES!$E$31</f>
        <v>0.44</v>
      </c>
      <c r="R63" s="70" t="n">
        <f aca="false">VALUES!$F$31</f>
        <v>0.59</v>
      </c>
      <c r="S63" s="70" t="n">
        <f aca="false">VALUES!$G$31</f>
        <v>0.72</v>
      </c>
      <c r="T63" s="70" t="n">
        <f aca="false">VALUES!$H$31</f>
        <v>0.81</v>
      </c>
      <c r="U63" s="70" t="n">
        <f aca="false">VALUES!$I$31</f>
        <v>0.85</v>
      </c>
      <c r="V63" s="70" t="n">
        <f aca="false">VALUES!$J$31</f>
        <v>0.85</v>
      </c>
      <c r="W63" s="70" t="n">
        <f aca="false">VALUES!$K$31</f>
        <v>0.81</v>
      </c>
      <c r="X63" s="70" t="n">
        <f aca="false">VALUES!$L$31</f>
        <v>0.71</v>
      </c>
      <c r="Y63" s="70" t="n">
        <f aca="false">VALUES!$M$31</f>
        <v>0.58</v>
      </c>
      <c r="Z63" s="70" t="n">
        <f aca="false">VALUES!$N$31</f>
        <v>0.42</v>
      </c>
      <c r="AA63" s="70" t="n">
        <f aca="false">VALUES!$O$31</f>
        <v>0.25</v>
      </c>
    </row>
    <row r="64" customFormat="false" ht="13.05" hidden="false" customHeight="true" outlineLevel="0" collapsed="false">
      <c r="A64" s="79" t="n">
        <v>10</v>
      </c>
      <c r="B64" s="124" t="s">
        <v>154</v>
      </c>
      <c r="C64" s="124"/>
      <c r="D64" s="87"/>
      <c r="E64" s="87"/>
      <c r="F64" s="87"/>
      <c r="G64" s="87"/>
      <c r="H64" s="103" t="n">
        <f aca="false">D64*G64*E64*F64</f>
        <v>0</v>
      </c>
      <c r="I64" s="87"/>
      <c r="J64" s="87"/>
      <c r="K64" s="103" t="n">
        <f aca="false">D64*E64*I64*J64</f>
        <v>0</v>
      </c>
      <c r="L64" s="105"/>
      <c r="M64" s="123" t="n">
        <f aca="false">INDEX(O64:AA64,1,MATCH(MAX($O$64:$AA$64),$O$64:$AA$64,0))</f>
        <v>341.286372</v>
      </c>
      <c r="N64" s="121"/>
      <c r="O64" s="126" t="n">
        <f aca="false">SUMPRODUCT(O55:O63, $E$55:$E$63, $D$55:$D$63, $G$55:$G$63)</f>
        <v>37.006956</v>
      </c>
      <c r="P64" s="126" t="n">
        <f aca="false">SUMPRODUCT(P55:P63, $E$55:$E$63, $D$55:$D$63, $G$55:$G$63)</f>
        <v>65.790144</v>
      </c>
      <c r="Q64" s="126" t="n">
        <f aca="false">SUMPRODUCT(Q55:Q63, $E$55:$E$63, $D$55:$D$63, $G$55:$G$63)</f>
        <v>94.573332</v>
      </c>
      <c r="R64" s="126" t="n">
        <f aca="false">SUMPRODUCT(R55:R63, $E$55:$E$63, $D$55:$D$63, $G$55:$G$63)</f>
        <v>156.251592</v>
      </c>
      <c r="S64" s="126" t="n">
        <f aca="false">SUMPRODUCT(S55:S63, $E$55:$E$63, $D$55:$D$63, $G$55:$G$63)</f>
        <v>238.489272</v>
      </c>
      <c r="T64" s="126" t="n">
        <f aca="false">SUMPRODUCT(T55:T63, $E$55:$E$63, $D$55:$D$63, $G$55:$G$63)</f>
        <v>308.3913</v>
      </c>
      <c r="U64" s="126" t="n">
        <f aca="false">SUMPRODUCT(U55:U63, $E$55:$E$63, $D$55:$D$63, $G$55:$G$63)</f>
        <v>341.286372</v>
      </c>
      <c r="V64" s="126" t="n">
        <f aca="false">SUMPRODUCT(V55:V63, $E$55:$E$63, $D$55:$D$63, $G$55:$G$63)</f>
        <v>328.95072</v>
      </c>
      <c r="W64" s="126" t="n">
        <f aca="false">SUMPRODUCT(W55:W63, $E$55:$E$63, $D$55:$D$63, $G$55:$G$63)</f>
        <v>279.608112</v>
      </c>
      <c r="X64" s="126" t="n">
        <f aca="false">SUMPRODUCT(X55:X63, $E$55:$E$63, $D$55:$D$63, $G$55:$G$63)</f>
        <v>205.5942</v>
      </c>
      <c r="Y64" s="126" t="n">
        <f aca="false">SUMPRODUCT(Y55:Y63, $E$55:$E$63, $D$55:$D$63, $G$55:$G$63)</f>
        <v>143.91594</v>
      </c>
      <c r="Z64" s="126" t="n">
        <f aca="false">SUMPRODUCT(Z55:Z63, $E$55:$E$63, $D$55:$D$63, $G$55:$G$63)</f>
        <v>111.020868</v>
      </c>
      <c r="AA64" s="126" t="n">
        <f aca="false">SUMPRODUCT(AA55:AA63, $E$55:$E$63, $D$55:$D$63, $G$55:$G$63)</f>
        <v>78.125796</v>
      </c>
    </row>
    <row r="65" s="117" customFormat="true" ht="24.25" hidden="false" customHeight="true" outlineLevel="0" collapsed="false">
      <c r="A65" s="112" t="s">
        <v>4</v>
      </c>
      <c r="B65" s="127" t="s">
        <v>165</v>
      </c>
      <c r="C65" s="127"/>
      <c r="D65" s="112"/>
      <c r="E65" s="128"/>
      <c r="F65" s="112"/>
      <c r="G65" s="112"/>
      <c r="H65" s="114" t="n">
        <f aca="false">SUM(H55:H64)</f>
        <v>341.286372</v>
      </c>
      <c r="I65" s="112"/>
      <c r="J65" s="112"/>
      <c r="K65" s="114" t="n">
        <f aca="false">SUM(K55:K64)</f>
        <v>1530.37143</v>
      </c>
      <c r="L65" s="105"/>
      <c r="M65" s="115"/>
      <c r="N65" s="123" t="n">
        <f aca="false">INDEX(O65:AA65,1,MATCH(MAX($O$65:$AA$65),$O$65:$AA$65,0))</f>
        <v>1530.37143</v>
      </c>
      <c r="O65" s="126" t="n">
        <f aca="false">SUMPRODUCT(O55:O63, $E$55:$E$63, $D$55:$D$63, $J$55:$J$63)</f>
        <v>165.94389</v>
      </c>
      <c r="P65" s="126" t="n">
        <f aca="false">SUMPRODUCT(P55:P63, $E$55:$E$63, $D$55:$D$63, $J$55:$J$63)</f>
        <v>295.01136</v>
      </c>
      <c r="Q65" s="126" t="n">
        <f aca="false">SUMPRODUCT(Q55:Q63, $E$55:$E$63, $D$55:$D$63, $J$55:$J$63)</f>
        <v>424.07883</v>
      </c>
      <c r="R65" s="126" t="n">
        <f aca="false">SUMPRODUCT(R55:R63, $E$55:$E$63, $D$55:$D$63, $J$55:$J$63)</f>
        <v>700.65198</v>
      </c>
      <c r="S65" s="126" t="n">
        <f aca="false">SUMPRODUCT(S55:S63, $E$55:$E$63, $D$55:$D$63, $J$55:$J$63)</f>
        <v>1069.41618</v>
      </c>
      <c r="T65" s="126" t="n">
        <f aca="false">SUMPRODUCT(T55:T63, $E$55:$E$63, $D$55:$D$63, $J$55:$J$63)</f>
        <v>1382.86575</v>
      </c>
      <c r="U65" s="126" t="n">
        <f aca="false">SUMPRODUCT(U55:U63, $E$55:$E$63, $D$55:$D$63, $J$55:$J$63)</f>
        <v>1530.37143</v>
      </c>
      <c r="V65" s="126" t="n">
        <f aca="false">SUMPRODUCT(V55:V63, $E$55:$E$63, $D$55:$D$63, $J$55:$J$63)</f>
        <v>1475.0568</v>
      </c>
      <c r="W65" s="126" t="n">
        <f aca="false">SUMPRODUCT(W55:W63, $E$55:$E$63, $D$55:$D$63, $J$55:$J$63)</f>
        <v>1253.79828</v>
      </c>
      <c r="X65" s="126" t="n">
        <f aca="false">SUMPRODUCT(X55:X63, $E$55:$E$63, $D$55:$D$63, $J$55:$J$63)</f>
        <v>921.9105</v>
      </c>
      <c r="Y65" s="126" t="n">
        <f aca="false">SUMPRODUCT(Y55:Y63, $E$55:$E$63, $D$55:$D$63, $J$55:$J$63)</f>
        <v>645.33735</v>
      </c>
      <c r="Z65" s="126" t="n">
        <f aca="false">SUMPRODUCT(Z55:Z63, $E$55:$E$63, $D$55:$D$63, $J$55:$J$63)</f>
        <v>497.83167</v>
      </c>
      <c r="AA65" s="126" t="n">
        <f aca="false">SUMPRODUCT(AA55:AA63, $E$55:$E$63, $D$55:$D$63, $J$55:$J$63)</f>
        <v>350.32599</v>
      </c>
      <c r="AMJ65" s="71"/>
    </row>
    <row r="66" s="117" customFormat="true" ht="12.8" hidden="false" customHeight="false" outlineLevel="0" collapsed="false"/>
    <row r="67" customFormat="false" ht="13.05" hidden="false" customHeight="false" outlineLevel="0" collapsed="false">
      <c r="A67" s="101" t="s">
        <v>166</v>
      </c>
      <c r="B67" s="76"/>
      <c r="C67" s="76"/>
      <c r="D67" s="76"/>
      <c r="E67" s="76"/>
      <c r="F67" s="79" t="s">
        <v>167</v>
      </c>
      <c r="G67" s="79" t="s">
        <v>168</v>
      </c>
      <c r="H67" s="79" t="s">
        <v>169</v>
      </c>
      <c r="L67" s="72"/>
      <c r="M67" s="72"/>
      <c r="N67" s="72"/>
    </row>
    <row r="68" customFormat="false" ht="12.8" hidden="false" customHeight="false" outlineLevel="0" collapsed="false">
      <c r="A68" s="79" t="n">
        <v>1</v>
      </c>
      <c r="B68" s="79" t="s">
        <v>170</v>
      </c>
      <c r="C68" s="87" t="n">
        <v>3</v>
      </c>
      <c r="D68" s="79" t="s">
        <v>171</v>
      </c>
      <c r="E68" s="87" t="n">
        <v>60</v>
      </c>
      <c r="F68" s="87" t="n">
        <v>1</v>
      </c>
      <c r="G68" s="103" t="n">
        <f aca="false">C68*E68*F68</f>
        <v>180</v>
      </c>
      <c r="H68" s="129"/>
      <c r="L68" s="72"/>
      <c r="M68" s="72"/>
      <c r="N68" s="72"/>
    </row>
    <row r="69" customFormat="false" ht="12.8" hidden="false" customHeight="false" outlineLevel="0" collapsed="false">
      <c r="A69" s="79" t="n">
        <v>2</v>
      </c>
      <c r="B69" s="79" t="s">
        <v>170</v>
      </c>
      <c r="C69" s="87" t="n">
        <v>3</v>
      </c>
      <c r="D69" s="79" t="s">
        <v>171</v>
      </c>
      <c r="E69" s="87" t="n">
        <v>70</v>
      </c>
      <c r="F69" s="80"/>
      <c r="G69" s="129"/>
      <c r="H69" s="103" t="n">
        <f aca="false">C69*E69</f>
        <v>210</v>
      </c>
      <c r="L69" s="72"/>
      <c r="M69" s="72"/>
      <c r="N69" s="72"/>
    </row>
    <row r="70" customFormat="false" ht="13.05" hidden="false" customHeight="true" outlineLevel="0" collapsed="false">
      <c r="A70" s="112" t="s">
        <v>46</v>
      </c>
      <c r="B70" s="127" t="s">
        <v>172</v>
      </c>
      <c r="C70" s="127"/>
      <c r="D70" s="127"/>
      <c r="E70" s="127"/>
      <c r="F70" s="127"/>
      <c r="G70" s="114" t="n">
        <f aca="false">SUM(G68:G69)</f>
        <v>180</v>
      </c>
      <c r="H70" s="114" t="n">
        <f aca="false">SUM(H68:H69)</f>
        <v>210</v>
      </c>
      <c r="L70" s="72"/>
      <c r="M70" s="72"/>
      <c r="N70" s="72"/>
    </row>
    <row r="71" s="117" customFormat="true" ht="12.8" hidden="false" customHeight="false" outlineLevel="0" collapsed="false"/>
    <row r="72" customFormat="false" ht="35.4" hidden="false" customHeight="false" outlineLevel="0" collapsed="false">
      <c r="A72" s="101" t="s">
        <v>173</v>
      </c>
      <c r="B72" s="101"/>
      <c r="C72" s="101"/>
      <c r="D72" s="101"/>
      <c r="E72" s="101"/>
      <c r="F72" s="79" t="s">
        <v>174</v>
      </c>
      <c r="G72" s="79" t="s">
        <v>167</v>
      </c>
      <c r="H72" s="79" t="s">
        <v>168</v>
      </c>
      <c r="I72" s="79" t="s">
        <v>169</v>
      </c>
      <c r="L72" s="72"/>
      <c r="M72" s="72"/>
      <c r="N72" s="72"/>
    </row>
    <row r="73" customFormat="false" ht="12.8" hidden="false" customHeight="false" outlineLevel="0" collapsed="false">
      <c r="A73" s="79" t="n">
        <v>1</v>
      </c>
      <c r="B73" s="80" t="s">
        <v>175</v>
      </c>
      <c r="C73" s="87"/>
      <c r="D73" s="79" t="s">
        <v>171</v>
      </c>
      <c r="E73" s="87" t="n">
        <v>20</v>
      </c>
      <c r="F73" s="87" t="n">
        <v>1</v>
      </c>
      <c r="G73" s="87" t="n">
        <v>1</v>
      </c>
      <c r="H73" s="103" t="n">
        <f aca="false">C73*E73*F73*G73</f>
        <v>0</v>
      </c>
      <c r="I73" s="129"/>
      <c r="L73" s="72"/>
      <c r="M73" s="72"/>
      <c r="N73" s="72"/>
    </row>
    <row r="74" customFormat="false" ht="13.05" hidden="false" customHeight="false" outlineLevel="0" collapsed="false">
      <c r="A74" s="79" t="n">
        <v>2</v>
      </c>
      <c r="B74" s="82" t="s">
        <v>176</v>
      </c>
      <c r="C74" s="87"/>
      <c r="D74" s="79" t="s">
        <v>171</v>
      </c>
      <c r="E74" s="87" t="n">
        <v>100</v>
      </c>
      <c r="F74" s="87" t="n">
        <v>0.4</v>
      </c>
      <c r="G74" s="87" t="n">
        <v>1</v>
      </c>
      <c r="H74" s="103" t="n">
        <f aca="false">C74*E74*F74*G74</f>
        <v>0</v>
      </c>
      <c r="I74" s="129"/>
      <c r="L74" s="72"/>
      <c r="M74" s="72"/>
      <c r="N74" s="72"/>
    </row>
    <row r="75" customFormat="false" ht="13.05" hidden="false" customHeight="false" outlineLevel="0" collapsed="false">
      <c r="A75" s="79" t="n">
        <v>3</v>
      </c>
      <c r="B75" s="82" t="s">
        <v>177</v>
      </c>
      <c r="C75" s="87"/>
      <c r="D75" s="79" t="s">
        <v>171</v>
      </c>
      <c r="E75" s="87" t="n">
        <v>1000</v>
      </c>
      <c r="F75" s="87" t="n">
        <v>0.4</v>
      </c>
      <c r="G75" s="87" t="n">
        <v>1</v>
      </c>
      <c r="H75" s="103" t="n">
        <f aca="false">C75*E75*F75*G75</f>
        <v>0</v>
      </c>
      <c r="I75" s="129"/>
      <c r="L75" s="72"/>
      <c r="M75" s="72"/>
      <c r="N75" s="72"/>
    </row>
    <row r="76" customFormat="false" ht="23.85" hidden="false" customHeight="false" outlineLevel="0" collapsed="false">
      <c r="A76" s="79" t="n">
        <v>4</v>
      </c>
      <c r="B76" s="82" t="s">
        <v>178</v>
      </c>
      <c r="C76" s="87"/>
      <c r="D76" s="87"/>
      <c r="E76" s="87"/>
      <c r="F76" s="87" t="n">
        <v>1</v>
      </c>
      <c r="G76" s="87" t="n">
        <v>1</v>
      </c>
      <c r="H76" s="103" t="n">
        <f aca="false">SUM(C76+D76+E76)*F76*G76</f>
        <v>0</v>
      </c>
      <c r="I76" s="129"/>
      <c r="L76" s="72"/>
      <c r="M76" s="72"/>
      <c r="N76" s="72"/>
    </row>
    <row r="77" customFormat="false" ht="23.85" hidden="false" customHeight="false" outlineLevel="0" collapsed="false">
      <c r="A77" s="79" t="n">
        <v>5</v>
      </c>
      <c r="B77" s="82" t="s">
        <v>179</v>
      </c>
      <c r="C77" s="87" t="n">
        <v>3</v>
      </c>
      <c r="D77" s="79" t="s">
        <v>171</v>
      </c>
      <c r="E77" s="87" t="n">
        <f aca="false">B85</f>
        <v>25.9</v>
      </c>
      <c r="F77" s="87" t="n">
        <v>1</v>
      </c>
      <c r="G77" s="87" t="n">
        <v>1</v>
      </c>
      <c r="H77" s="103" t="n">
        <f aca="false">C77*E77*F77*G77</f>
        <v>77.7</v>
      </c>
      <c r="I77" s="129"/>
      <c r="L77" s="72"/>
      <c r="M77" s="72"/>
      <c r="N77" s="72"/>
    </row>
    <row r="78" customFormat="false" ht="23.85" hidden="false" customHeight="false" outlineLevel="0" collapsed="false">
      <c r="A78" s="79" t="n">
        <v>6</v>
      </c>
      <c r="B78" s="82" t="s">
        <v>180</v>
      </c>
      <c r="C78" s="87" t="n">
        <v>10</v>
      </c>
      <c r="D78" s="79" t="s">
        <v>171</v>
      </c>
      <c r="E78" s="87" t="n">
        <f aca="false">B85</f>
        <v>25.9</v>
      </c>
      <c r="F78" s="87" t="n">
        <v>1</v>
      </c>
      <c r="G78" s="87" t="n">
        <v>1</v>
      </c>
      <c r="H78" s="103" t="n">
        <f aca="false">C78*E78*F78*G78</f>
        <v>259</v>
      </c>
      <c r="I78" s="129"/>
      <c r="L78" s="72"/>
      <c r="M78" s="72"/>
      <c r="N78" s="72"/>
    </row>
    <row r="79" customFormat="false" ht="13.05" hidden="false" customHeight="false" outlineLevel="0" collapsed="false">
      <c r="A79" s="79" t="n">
        <v>7</v>
      </c>
      <c r="B79" s="80" t="s">
        <v>181</v>
      </c>
      <c r="C79" s="87"/>
      <c r="D79" s="87"/>
      <c r="E79" s="87"/>
      <c r="F79" s="87" t="n">
        <v>1</v>
      </c>
      <c r="G79" s="87" t="n">
        <v>1</v>
      </c>
      <c r="H79" s="103" t="n">
        <f aca="false">SUM(C79+D79+E79)*F79*G79</f>
        <v>0</v>
      </c>
      <c r="I79" s="129"/>
      <c r="J79" s="105"/>
      <c r="K79" s="105"/>
      <c r="L79" s="89"/>
      <c r="M79" s="89"/>
      <c r="N79" s="72"/>
    </row>
    <row r="80" customFormat="false" ht="13.05" hidden="false" customHeight="false" outlineLevel="0" collapsed="false">
      <c r="A80" s="79" t="n">
        <v>8</v>
      </c>
      <c r="B80" s="80" t="s">
        <v>182</v>
      </c>
      <c r="C80" s="87"/>
      <c r="D80" s="87"/>
      <c r="E80" s="87"/>
      <c r="F80" s="87" t="n">
        <v>1</v>
      </c>
      <c r="G80" s="80"/>
      <c r="H80" s="129"/>
      <c r="I80" s="103" t="n">
        <f aca="false">SUM(C80+D80+E80)*F80</f>
        <v>0</v>
      </c>
      <c r="J80" s="105"/>
      <c r="K80" s="105"/>
      <c r="L80" s="89"/>
      <c r="M80" s="89"/>
      <c r="N80" s="72"/>
    </row>
    <row r="81" customFormat="false" ht="13.05" hidden="false" customHeight="true" outlineLevel="0" collapsed="false">
      <c r="A81" s="112" t="s">
        <v>183</v>
      </c>
      <c r="B81" s="127" t="s">
        <v>184</v>
      </c>
      <c r="C81" s="127"/>
      <c r="D81" s="127"/>
      <c r="E81" s="127"/>
      <c r="F81" s="127"/>
      <c r="G81" s="127"/>
      <c r="H81" s="114" t="n">
        <f aca="false">SUM(H73:H80)</f>
        <v>336.7</v>
      </c>
      <c r="I81" s="114" t="n">
        <f aca="false">SUM(I73:I80)</f>
        <v>0</v>
      </c>
      <c r="L81" s="72"/>
      <c r="M81" s="72"/>
      <c r="N81" s="72"/>
    </row>
    <row r="82" s="117" customFormat="true" ht="12.8" hidden="false" customHeight="false" outlineLevel="0" collapsed="false"/>
    <row r="83" customFormat="false" ht="13.05" hidden="false" customHeight="true" outlineLevel="0" collapsed="false">
      <c r="A83" s="101" t="s">
        <v>185</v>
      </c>
      <c r="B83" s="88"/>
      <c r="C83" s="105"/>
      <c r="D83" s="105"/>
      <c r="E83" s="105"/>
      <c r="F83" s="88"/>
      <c r="G83" s="88"/>
      <c r="H83" s="118" t="s">
        <v>97</v>
      </c>
      <c r="I83" s="118"/>
      <c r="J83" s="118" t="s">
        <v>107</v>
      </c>
      <c r="K83" s="118"/>
      <c r="L83" s="72"/>
      <c r="M83" s="72"/>
      <c r="N83" s="72"/>
    </row>
    <row r="84" customFormat="false" ht="13.05" hidden="false" customHeight="false" outlineLevel="0" collapsed="false">
      <c r="A84" s="89"/>
      <c r="B84" s="79" t="s">
        <v>186</v>
      </c>
      <c r="C84" s="79" t="s">
        <v>187</v>
      </c>
      <c r="D84" s="79" t="s">
        <v>188</v>
      </c>
      <c r="E84" s="119"/>
      <c r="F84" s="130" t="s">
        <v>7</v>
      </c>
      <c r="G84" s="130" t="s">
        <v>7</v>
      </c>
      <c r="H84" s="79" t="s">
        <v>168</v>
      </c>
      <c r="I84" s="79" t="s">
        <v>169</v>
      </c>
      <c r="J84" s="79" t="s">
        <v>168</v>
      </c>
      <c r="K84" s="79" t="s">
        <v>169</v>
      </c>
      <c r="L84" s="72"/>
      <c r="M84" s="72"/>
      <c r="N84" s="72"/>
    </row>
    <row r="85" customFormat="false" ht="12.8" hidden="false" customHeight="false" outlineLevel="0" collapsed="false">
      <c r="A85" s="79" t="n">
        <v>1</v>
      </c>
      <c r="B85" s="87" t="n">
        <f aca="false">7*3.7</f>
        <v>25.9</v>
      </c>
      <c r="C85" s="87" t="n">
        <v>4.2</v>
      </c>
      <c r="D85" s="87" t="n">
        <v>1</v>
      </c>
      <c r="E85" s="119" t="s">
        <v>189</v>
      </c>
      <c r="F85" s="87"/>
      <c r="G85" s="131" t="n">
        <f aca="false">F85 + D85*B85*C85</f>
        <v>108.78</v>
      </c>
      <c r="H85" s="103" t="n">
        <f aca="false">1230*(G85/3600)*($D$9-$E$9)</f>
        <v>453.4313</v>
      </c>
      <c r="I85" s="103" t="n">
        <f aca="false">3010000*G85/3600*($D$11-$E$11)</f>
        <v>683.546363769579</v>
      </c>
      <c r="J85" s="103" t="n">
        <f aca="false">1230*(G85/3600)*($D$15-$E$15)</f>
        <v>271.31545</v>
      </c>
      <c r="K85" s="103" t="n">
        <f aca="false">3010000*G85/3600*($D$17-$E$17)</f>
        <v>1115.72129857675</v>
      </c>
      <c r="L85" s="72"/>
    </row>
    <row r="86" customFormat="false" ht="13.05" hidden="false" customHeight="true" outlineLevel="0" collapsed="false">
      <c r="A86" s="112" t="s">
        <v>190</v>
      </c>
      <c r="B86" s="127" t="s">
        <v>191</v>
      </c>
      <c r="C86" s="127"/>
      <c r="D86" s="127"/>
      <c r="E86" s="127"/>
      <c r="F86" s="127"/>
      <c r="G86" s="127"/>
      <c r="H86" s="114" t="n">
        <f aca="false">SUM(H85:H85)</f>
        <v>453.4313</v>
      </c>
      <c r="I86" s="114" t="n">
        <f aca="false">SUM(I85:I85)</f>
        <v>683.546363769579</v>
      </c>
      <c r="J86" s="114" t="n">
        <f aca="false">SUM(J85:J85)</f>
        <v>271.31545</v>
      </c>
      <c r="K86" s="114" t="n">
        <f aca="false">SUM(K85:K85)</f>
        <v>1115.72129857675</v>
      </c>
      <c r="L86" s="72"/>
    </row>
    <row r="87" customFormat="false" ht="12.8" hidden="false" customHeight="false" outlineLevel="0" collapsed="false">
      <c r="A87" s="132"/>
      <c r="B87" s="115"/>
      <c r="C87" s="115"/>
      <c r="D87" s="115"/>
      <c r="E87" s="115"/>
      <c r="F87" s="133"/>
      <c r="G87" s="133"/>
      <c r="L87" s="72"/>
    </row>
    <row r="88" customFormat="false" ht="13.05" hidden="false" customHeight="true" outlineLevel="0" collapsed="false">
      <c r="A88" s="74" t="s">
        <v>192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2"/>
    </row>
    <row r="89" customFormat="false" ht="12.8" hidden="false" customHeight="false" outlineLevel="0" collapsed="false">
      <c r="A89" s="74"/>
      <c r="B89" s="74"/>
      <c r="C89" s="74"/>
      <c r="D89" s="74"/>
      <c r="E89" s="74"/>
      <c r="F89" s="74"/>
      <c r="G89" s="133"/>
      <c r="L89" s="72"/>
    </row>
    <row r="90" customFormat="false" ht="13.05" hidden="false" customHeight="false" outlineLevel="0" collapsed="false">
      <c r="A90" s="88"/>
      <c r="B90" s="72"/>
      <c r="C90" s="72"/>
      <c r="D90" s="72"/>
      <c r="E90" s="79" t="s">
        <v>97</v>
      </c>
      <c r="F90" s="79" t="s">
        <v>107</v>
      </c>
      <c r="G90" s="72"/>
      <c r="J90" s="79" t="s">
        <v>97</v>
      </c>
      <c r="K90" s="79" t="s">
        <v>107</v>
      </c>
      <c r="L90" s="72"/>
    </row>
    <row r="91" customFormat="false" ht="24.25" hidden="false" customHeight="true" outlineLevel="0" collapsed="false">
      <c r="A91" s="79" t="s">
        <v>193</v>
      </c>
      <c r="B91" s="118" t="s">
        <v>120</v>
      </c>
      <c r="C91" s="118"/>
      <c r="D91" s="118"/>
      <c r="E91" s="79" t="s">
        <v>194</v>
      </c>
      <c r="F91" s="79" t="s">
        <v>194</v>
      </c>
      <c r="G91" s="89"/>
      <c r="H91" s="134"/>
      <c r="I91" s="134"/>
      <c r="J91" s="79"/>
      <c r="K91" s="79"/>
      <c r="L91" s="135"/>
    </row>
    <row r="92" customFormat="false" ht="13.8" hidden="false" customHeight="true" outlineLevel="0" collapsed="false">
      <c r="A92" s="79" t="n">
        <v>1</v>
      </c>
      <c r="B92" s="124" t="s">
        <v>195</v>
      </c>
      <c r="C92" s="124"/>
      <c r="D92" s="124"/>
      <c r="E92" s="103" t="n">
        <f aca="false">I51</f>
        <v>2835.293699</v>
      </c>
      <c r="F92" s="103" t="n">
        <f aca="false">K51</f>
        <v>1540.684285</v>
      </c>
      <c r="G92" s="135"/>
      <c r="H92" s="136" t="s">
        <v>196</v>
      </c>
      <c r="I92" s="136"/>
      <c r="J92" s="137" t="n">
        <f aca="false">(E97/E102)</f>
        <v>0.822718120621975</v>
      </c>
      <c r="K92" s="137" t="n">
        <f aca="false">(F97/F102)</f>
        <v>0.744305812066738</v>
      </c>
      <c r="L92" s="72"/>
    </row>
    <row r="93" customFormat="false" ht="13.8" hidden="false" customHeight="true" outlineLevel="0" collapsed="false">
      <c r="A93" s="79" t="n">
        <v>2</v>
      </c>
      <c r="B93" s="124" t="s">
        <v>197</v>
      </c>
      <c r="C93" s="124"/>
      <c r="D93" s="124"/>
      <c r="E93" s="103" t="n">
        <f aca="false">H65</f>
        <v>341.286372</v>
      </c>
      <c r="F93" s="103" t="n">
        <f aca="false">K65</f>
        <v>1530.37143</v>
      </c>
      <c r="G93" s="138"/>
      <c r="H93" s="136" t="s">
        <v>198</v>
      </c>
      <c r="I93" s="136"/>
      <c r="J93" s="139" t="n">
        <f aca="false">ROUND($E$107*3600/($B$85*$C$85),0)</f>
        <v>11</v>
      </c>
      <c r="K93" s="139" t="n">
        <f aca="false">ROUND($F$107*3600/($B$85*$C$85),0)</f>
        <v>11</v>
      </c>
      <c r="L93" s="72"/>
    </row>
    <row r="94" customFormat="false" ht="14.9" hidden="false" customHeight="true" outlineLevel="0" collapsed="false">
      <c r="A94" s="79" t="n">
        <v>3</v>
      </c>
      <c r="B94" s="124" t="s">
        <v>199</v>
      </c>
      <c r="C94" s="124"/>
      <c r="D94" s="124"/>
      <c r="E94" s="103" t="n">
        <f aca="false">G70</f>
        <v>180</v>
      </c>
      <c r="F94" s="103" t="n">
        <f aca="false">G70</f>
        <v>180</v>
      </c>
      <c r="G94" s="138"/>
      <c r="H94" s="136" t="s">
        <v>200</v>
      </c>
      <c r="I94" s="136"/>
      <c r="J94" s="139" t="n">
        <f aca="false">$E$9-($I$51+$H$65)/(SUMPRODUCT($G$28:$G$43, $F$28:$F$43) + $F$47*$G$47+ $F$49*$G$49)</f>
        <v>-28.1081143107254</v>
      </c>
      <c r="K94" s="139" t="n">
        <f aca="false">$E$15-($K$51+$K$65)/(SUMPRODUCT($G$28:$G$43, $F$28:$F$43) + $F$47*$G$47+ $F$49*$G$49)</f>
        <v>-26.3438900708971</v>
      </c>
      <c r="L94" s="72"/>
    </row>
    <row r="95" customFormat="false" ht="13.8" hidden="false" customHeight="true" outlineLevel="0" collapsed="false">
      <c r="A95" s="79" t="n">
        <v>4</v>
      </c>
      <c r="B95" s="124" t="s">
        <v>201</v>
      </c>
      <c r="C95" s="124"/>
      <c r="D95" s="124"/>
      <c r="E95" s="103" t="n">
        <f aca="false">H81</f>
        <v>336.7</v>
      </c>
      <c r="F95" s="103" t="n">
        <f aca="false">H81</f>
        <v>336.7</v>
      </c>
      <c r="G95" s="138"/>
      <c r="H95" s="136" t="s">
        <v>202</v>
      </c>
      <c r="I95" s="136"/>
      <c r="J95" s="140" t="n">
        <f aca="false">$M$54</f>
        <v>12</v>
      </c>
      <c r="K95" s="140" t="n">
        <f aca="false">$N$54</f>
        <v>12</v>
      </c>
      <c r="L95" s="72"/>
    </row>
    <row r="96" customFormat="false" ht="13.05" hidden="false" customHeight="true" outlineLevel="0" collapsed="false">
      <c r="A96" s="79" t="n">
        <v>5</v>
      </c>
      <c r="B96" s="124" t="s">
        <v>203</v>
      </c>
      <c r="C96" s="124"/>
      <c r="D96" s="124"/>
      <c r="E96" s="103" t="n">
        <f aca="false">H86</f>
        <v>453.4313</v>
      </c>
      <c r="F96" s="103" t="n">
        <f aca="false">J86</f>
        <v>271.31545</v>
      </c>
      <c r="L96" s="72"/>
    </row>
    <row r="97" customFormat="false" ht="13.05" hidden="false" customHeight="true" outlineLevel="0" collapsed="false">
      <c r="A97" s="141" t="s">
        <v>204</v>
      </c>
      <c r="B97" s="142" t="s">
        <v>205</v>
      </c>
      <c r="C97" s="142"/>
      <c r="D97" s="142"/>
      <c r="E97" s="143" t="n">
        <f aca="false">SUM(E92:E96)</f>
        <v>4146.711371</v>
      </c>
      <c r="F97" s="143" t="n">
        <f aca="false">SUM(F92:F96)</f>
        <v>3859.071165</v>
      </c>
      <c r="L97" s="72"/>
    </row>
    <row r="98" customFormat="false" ht="13.05" hidden="false" customHeight="true" outlineLevel="0" collapsed="false">
      <c r="A98" s="79" t="n">
        <v>1</v>
      </c>
      <c r="B98" s="124" t="s">
        <v>199</v>
      </c>
      <c r="C98" s="124"/>
      <c r="D98" s="124"/>
      <c r="E98" s="103" t="n">
        <f aca="false">H70</f>
        <v>210</v>
      </c>
      <c r="F98" s="103" t="n">
        <f aca="false">H70</f>
        <v>210</v>
      </c>
      <c r="L98" s="72"/>
    </row>
    <row r="99" customFormat="false" ht="13.05" hidden="false" customHeight="true" outlineLevel="0" collapsed="false">
      <c r="A99" s="79" t="n">
        <v>2</v>
      </c>
      <c r="B99" s="124" t="s">
        <v>206</v>
      </c>
      <c r="C99" s="124"/>
      <c r="D99" s="124"/>
      <c r="E99" s="103" t="n">
        <f aca="false">I81</f>
        <v>0</v>
      </c>
      <c r="F99" s="103" t="n">
        <f aca="false">I81</f>
        <v>0</v>
      </c>
      <c r="L99" s="72"/>
    </row>
    <row r="100" customFormat="false" ht="13.05" hidden="false" customHeight="true" outlineLevel="0" collapsed="false">
      <c r="A100" s="79" t="n">
        <v>3</v>
      </c>
      <c r="B100" s="124" t="s">
        <v>203</v>
      </c>
      <c r="C100" s="124"/>
      <c r="D100" s="124"/>
      <c r="E100" s="103" t="n">
        <f aca="false">I86</f>
        <v>683.546363769579</v>
      </c>
      <c r="F100" s="103" t="n">
        <f aca="false">K86</f>
        <v>1115.72129857675</v>
      </c>
      <c r="L100" s="72"/>
    </row>
    <row r="101" customFormat="false" ht="13.05" hidden="false" customHeight="true" outlineLevel="0" collapsed="false">
      <c r="A101" s="141" t="s">
        <v>207</v>
      </c>
      <c r="B101" s="142" t="s">
        <v>208</v>
      </c>
      <c r="C101" s="142"/>
      <c r="D101" s="142"/>
      <c r="E101" s="143" t="n">
        <f aca="false">SUM(E98:E100)</f>
        <v>893.546363769578</v>
      </c>
      <c r="F101" s="143" t="n">
        <f aca="false">SUM(F98:F100)</f>
        <v>1325.72129857675</v>
      </c>
      <c r="L101" s="72"/>
    </row>
    <row r="102" customFormat="false" ht="13.05" hidden="false" customHeight="true" outlineLevel="0" collapsed="false">
      <c r="A102" s="141" t="s">
        <v>209</v>
      </c>
      <c r="B102" s="142" t="s">
        <v>210</v>
      </c>
      <c r="C102" s="142"/>
      <c r="D102" s="142"/>
      <c r="E102" s="143" t="n">
        <f aca="false">E97+E101</f>
        <v>5040.25773476958</v>
      </c>
      <c r="F102" s="143" t="n">
        <f aca="false">F97+F101</f>
        <v>5184.79246357675</v>
      </c>
      <c r="L102" s="72"/>
    </row>
    <row r="103" s="147" customFormat="true" ht="12.8" hidden="false" customHeight="true" outlineLevel="0" collapsed="false">
      <c r="A103" s="79"/>
      <c r="B103" s="124" t="s">
        <v>211</v>
      </c>
      <c r="C103" s="124"/>
      <c r="D103" s="124"/>
      <c r="E103" s="144" t="n">
        <f aca="false">E115</f>
        <v>13.9779473648197</v>
      </c>
      <c r="F103" s="144" t="n">
        <f aca="false">F115</f>
        <v>13.8926214994043</v>
      </c>
      <c r="G103" s="70"/>
      <c r="H103" s="70"/>
      <c r="I103" s="70"/>
      <c r="J103" s="70"/>
      <c r="K103" s="70"/>
      <c r="L103" s="146"/>
    </row>
    <row r="104" customFormat="false" ht="13.05" hidden="false" customHeight="true" outlineLevel="0" collapsed="false">
      <c r="A104" s="79"/>
      <c r="B104" s="124" t="s">
        <v>212</v>
      </c>
      <c r="C104" s="124"/>
      <c r="D104" s="124"/>
      <c r="E104" s="148" t="n">
        <f aca="false">E97/(1230*($E$9-E103))</f>
        <v>0.305869529869872</v>
      </c>
      <c r="F104" s="148" t="n">
        <f aca="false">F97/(1230*($E$15-F103))</f>
        <v>0.282465951037777</v>
      </c>
      <c r="L104" s="72"/>
    </row>
    <row r="105" customFormat="false" ht="13.05" hidden="false" customHeight="true" outlineLevel="0" collapsed="false">
      <c r="A105" s="141" t="s">
        <v>213</v>
      </c>
      <c r="B105" s="142" t="s">
        <v>214</v>
      </c>
      <c r="C105" s="142"/>
      <c r="D105" s="142"/>
      <c r="E105" s="143" t="n">
        <f aca="false">1230*E104*1</f>
        <v>376.219521739943</v>
      </c>
      <c r="F105" s="143" t="n">
        <f aca="false">1230*F104*1</f>
        <v>347.433119776466</v>
      </c>
      <c r="G105" s="73"/>
      <c r="L105" s="72"/>
    </row>
    <row r="106" s="150" customFormat="true" ht="13.05" hidden="false" customHeight="true" outlineLevel="0" collapsed="false">
      <c r="A106" s="141" t="s">
        <v>215</v>
      </c>
      <c r="B106" s="142" t="s">
        <v>216</v>
      </c>
      <c r="C106" s="142"/>
      <c r="D106" s="142"/>
      <c r="E106" s="149" t="n">
        <f aca="false">E123*1000</f>
        <v>160</v>
      </c>
      <c r="F106" s="149" t="n">
        <f aca="false">F123*1000</f>
        <v>150</v>
      </c>
      <c r="G106" s="73"/>
      <c r="H106" s="70"/>
      <c r="I106" s="70"/>
      <c r="J106" s="70"/>
      <c r="K106" s="70"/>
      <c r="L106" s="73"/>
      <c r="AMJ106" s="71"/>
    </row>
    <row r="107" s="150" customFormat="true" ht="13.05" hidden="false" customHeight="true" outlineLevel="0" collapsed="false">
      <c r="A107" s="79"/>
      <c r="B107" s="82" t="s">
        <v>217</v>
      </c>
      <c r="C107" s="82"/>
      <c r="D107" s="82"/>
      <c r="E107" s="148" t="n">
        <f aca="false">(E97+E105+E106)/(1230*($E$9-E103))</f>
        <v>0.34542212911</v>
      </c>
      <c r="F107" s="148" t="n">
        <f aca="false">(F97+F105+F106)/(1230*($E$15-F103))</f>
        <v>0.318875727703647</v>
      </c>
      <c r="G107" s="72"/>
      <c r="H107" s="70"/>
      <c r="I107" s="70"/>
      <c r="J107" s="70"/>
      <c r="K107" s="70"/>
      <c r="L107" s="73"/>
      <c r="AMJ107" s="71"/>
    </row>
    <row r="108" customFormat="false" ht="24.25" hidden="false" customHeight="true" outlineLevel="0" collapsed="false">
      <c r="A108" s="79"/>
      <c r="B108" s="124" t="s">
        <v>218</v>
      </c>
      <c r="C108" s="124"/>
      <c r="D108" s="124"/>
      <c r="E108" s="151" t="n">
        <f aca="false">$E$11-E101/(3010000*E107)</f>
        <v>0.00845989977477662</v>
      </c>
      <c r="F108" s="151" t="n">
        <f aca="false">$E$17-F101/(3010000*F107)</f>
        <v>0.00853293490565156</v>
      </c>
      <c r="L108" s="72"/>
    </row>
    <row r="109" customFormat="false" ht="12.8" hidden="false" customHeight="true" outlineLevel="0" collapsed="false">
      <c r="A109" s="79"/>
      <c r="B109" s="124" t="s">
        <v>219</v>
      </c>
      <c r="C109" s="124"/>
      <c r="D109" s="124"/>
      <c r="E109" s="152" t="n">
        <v>0</v>
      </c>
      <c r="F109" s="152" t="n">
        <v>0</v>
      </c>
      <c r="L109" s="72"/>
    </row>
    <row r="110" customFormat="false" ht="12.8" hidden="false" customHeight="true" outlineLevel="0" collapsed="false">
      <c r="A110" s="79"/>
      <c r="B110" s="124" t="s">
        <v>220</v>
      </c>
      <c r="C110" s="124"/>
      <c r="D110" s="124"/>
      <c r="E110" s="152" t="n">
        <v>0.2</v>
      </c>
      <c r="F110" s="152" t="n">
        <v>0.2</v>
      </c>
      <c r="L110" s="72"/>
    </row>
    <row r="111" customFormat="false" ht="13.05" hidden="false" customHeight="true" outlineLevel="0" collapsed="false">
      <c r="A111" s="79"/>
      <c r="B111" s="124" t="s">
        <v>221</v>
      </c>
      <c r="C111" s="124"/>
      <c r="D111" s="124"/>
      <c r="E111" s="153" t="n">
        <f aca="false">E109*($D$9-$E$9)+$E$9</f>
        <v>25</v>
      </c>
      <c r="F111" s="153" t="n">
        <f aca="false">F109*($D$15-$E$15)+$E$15</f>
        <v>25</v>
      </c>
      <c r="L111" s="72"/>
    </row>
    <row r="112" customFormat="false" ht="13.05" hidden="false" customHeight="true" outlineLevel="0" collapsed="false">
      <c r="A112" s="79"/>
      <c r="B112" s="124" t="s">
        <v>222</v>
      </c>
      <c r="C112" s="124"/>
      <c r="D112" s="124"/>
      <c r="E112" s="151" t="n">
        <f aca="false">E109*($D$11-$E$11)+$E$11</f>
        <v>0.00931930984740625</v>
      </c>
      <c r="F112" s="151" t="n">
        <f aca="false">F109*($D$17-$E$17)+$E$17</f>
        <v>0.0099141594121343</v>
      </c>
      <c r="L112" s="72"/>
    </row>
    <row r="113" customFormat="false" ht="14.9" hidden="false" customHeight="true" outlineLevel="0" collapsed="false">
      <c r="A113" s="79"/>
      <c r="B113" s="124" t="s">
        <v>223</v>
      </c>
      <c r="C113" s="124"/>
      <c r="D113" s="124"/>
      <c r="E113" s="151" t="n">
        <f aca="false">(E108-E110*E112)/(1-E110)</f>
        <v>0.00824504725661921</v>
      </c>
      <c r="F113" s="151" t="n">
        <f aca="false">(F108-F110*F112)/(1-F110)</f>
        <v>0.00818762877903088</v>
      </c>
      <c r="L113" s="72"/>
    </row>
    <row r="114" s="147" customFormat="true" ht="14.9" hidden="false" customHeight="true" outlineLevel="0" collapsed="false">
      <c r="A114" s="154"/>
      <c r="B114" s="155" t="s">
        <v>224</v>
      </c>
      <c r="C114" s="155"/>
      <c r="D114" s="155"/>
      <c r="E114" s="156" t="n">
        <f aca="false">1730.63/(8.07131-LOG10(E113*101325/(0.62198+E108)*0.00750062))-233.426</f>
        <v>11.2224342060246</v>
      </c>
      <c r="F114" s="156" t="n">
        <f aca="false">1730.63/(8.07131-LOG10(F113*101325/(0.62198+F108)*0.00750062))-233.426</f>
        <v>11.1157768742554</v>
      </c>
      <c r="L114" s="146"/>
    </row>
    <row r="115" customFormat="false" ht="13.05" hidden="false" customHeight="true" outlineLevel="0" collapsed="false">
      <c r="A115" s="79"/>
      <c r="B115" s="124" t="s">
        <v>225</v>
      </c>
      <c r="C115" s="124"/>
      <c r="D115" s="124"/>
      <c r="E115" s="153" t="n">
        <f aca="false">E114+E110*(E111-E114)</f>
        <v>13.9779473648197</v>
      </c>
      <c r="F115" s="153" t="n">
        <f aca="false">F114+F110*(F111-F114)</f>
        <v>13.8926214994043</v>
      </c>
      <c r="L115" s="72"/>
    </row>
    <row r="116" customFormat="false" ht="13.8" hidden="false" customHeight="true" outlineLevel="0" collapsed="false">
      <c r="A116" s="141" t="s">
        <v>226</v>
      </c>
      <c r="B116" s="157" t="s">
        <v>227</v>
      </c>
      <c r="C116" s="157"/>
      <c r="D116" s="157"/>
      <c r="E116" s="143" t="n">
        <f aca="false">1230*E107*(E111-E115)</f>
        <v>4682.93089273995</v>
      </c>
      <c r="F116" s="143" t="n">
        <f aca="false">1230*F107*(F111-F115)</f>
        <v>4356.50428477647</v>
      </c>
      <c r="G116" s="135"/>
      <c r="H116" s="135"/>
      <c r="I116" s="135"/>
      <c r="J116" s="135"/>
      <c r="K116" s="135"/>
      <c r="L116" s="72"/>
    </row>
    <row r="117" s="150" customFormat="true" ht="13.05" hidden="false" customHeight="true" outlineLevel="0" collapsed="false">
      <c r="A117" s="141" t="s">
        <v>228</v>
      </c>
      <c r="B117" s="157" t="s">
        <v>229</v>
      </c>
      <c r="C117" s="157"/>
      <c r="D117" s="157"/>
      <c r="E117" s="143" t="n">
        <f aca="false">3010000*E107*(E112-E108)</f>
        <v>893.546363769578</v>
      </c>
      <c r="F117" s="143" t="n">
        <f aca="false">3010000*F107*(F112-F108)</f>
        <v>1325.72129857665</v>
      </c>
      <c r="G117" s="74" t="s">
        <v>230</v>
      </c>
      <c r="H117" s="74"/>
      <c r="I117" s="74"/>
      <c r="J117" s="74"/>
      <c r="K117" s="74"/>
      <c r="AMJ117" s="71"/>
    </row>
    <row r="118" s="150" customFormat="true" ht="13.05" hidden="false" customHeight="true" outlineLevel="0" collapsed="false">
      <c r="A118" s="141" t="s">
        <v>231</v>
      </c>
      <c r="B118" s="157" t="s">
        <v>232</v>
      </c>
      <c r="C118" s="157"/>
      <c r="D118" s="157"/>
      <c r="E118" s="143" t="n">
        <f aca="false">E116+E117</f>
        <v>5576.47725650952</v>
      </c>
      <c r="F118" s="143" t="n">
        <f aca="false">F116+F117</f>
        <v>5682.22558335312</v>
      </c>
      <c r="G118" s="70"/>
      <c r="H118" s="105"/>
      <c r="I118" s="70"/>
      <c r="J118" s="70"/>
      <c r="K118" s="70"/>
      <c r="AMJ118" s="71"/>
    </row>
    <row r="119" s="150" customFormat="true" ht="12.8" hidden="false" customHeight="true" outlineLevel="0" collapsed="false">
      <c r="A119" s="141"/>
      <c r="B119" s="157" t="s">
        <v>233</v>
      </c>
      <c r="C119" s="157"/>
      <c r="D119" s="157"/>
      <c r="E119" s="158" t="n">
        <f aca="false">E118/3517</f>
        <v>1.58557783807493</v>
      </c>
      <c r="F119" s="158" t="n">
        <f aca="false">F118/3517</f>
        <v>1.6156456023182</v>
      </c>
      <c r="G119" s="159" t="s">
        <v>204</v>
      </c>
      <c r="H119" s="160" t="s">
        <v>234</v>
      </c>
      <c r="I119" s="160"/>
      <c r="J119" s="161" t="n">
        <f aca="false">MAX(E119:F119)*1.1</f>
        <v>1.77721016255002</v>
      </c>
      <c r="K119" s="150" t="s">
        <v>17</v>
      </c>
      <c r="AMJ119" s="71"/>
    </row>
    <row r="120" customFormat="false" ht="12.8" hidden="false" customHeight="true" outlineLevel="0" collapsed="false">
      <c r="A120" s="162" t="s">
        <v>235</v>
      </c>
      <c r="B120" s="163" t="s">
        <v>236</v>
      </c>
      <c r="C120" s="163"/>
      <c r="D120" s="163"/>
      <c r="E120" s="164" t="n">
        <f aca="false">1230*E107*(E103-E115)/1000</f>
        <v>0</v>
      </c>
      <c r="F120" s="164" t="n">
        <f aca="false">1230*F107*(F103-F115)/1000</f>
        <v>0</v>
      </c>
      <c r="G120" s="159" t="s">
        <v>207</v>
      </c>
      <c r="H120" s="160" t="s">
        <v>237</v>
      </c>
      <c r="I120" s="160"/>
      <c r="J120" s="165" t="n">
        <f aca="false">MAX(E121:F121)*1.1</f>
        <v>1367.8716312756</v>
      </c>
      <c r="K120" s="150" t="s">
        <v>7</v>
      </c>
      <c r="L120" s="72"/>
    </row>
    <row r="121" customFormat="false" ht="24.25" hidden="false" customHeight="true" outlineLevel="0" collapsed="false">
      <c r="A121" s="141" t="s">
        <v>238</v>
      </c>
      <c r="B121" s="157" t="s">
        <v>239</v>
      </c>
      <c r="C121" s="157"/>
      <c r="D121" s="157"/>
      <c r="E121" s="143" t="n">
        <f aca="false">E107*3600</f>
        <v>1243.519664796</v>
      </c>
      <c r="F121" s="143" t="n">
        <f aca="false">F107*3600</f>
        <v>1147.95261973313</v>
      </c>
      <c r="G121" s="74"/>
      <c r="H121" s="166" t="s">
        <v>240</v>
      </c>
      <c r="I121" s="166"/>
      <c r="J121" s="167"/>
      <c r="K121" s="74"/>
    </row>
    <row r="122" customFormat="false" ht="12.8" hidden="false" customHeight="true" outlineLevel="0" collapsed="false">
      <c r="A122" s="79"/>
      <c r="B122" s="82" t="s">
        <v>241</v>
      </c>
      <c r="C122" s="82"/>
      <c r="D122" s="82"/>
      <c r="E122" s="168" t="n">
        <v>300</v>
      </c>
      <c r="F122" s="168" t="n">
        <v>300</v>
      </c>
      <c r="H122" s="169" t="s">
        <v>242</v>
      </c>
      <c r="I122" s="169"/>
      <c r="J122" s="170" t="n">
        <f aca="false">ROUND((J120/1.7)/J119,0)</f>
        <v>453</v>
      </c>
    </row>
    <row r="123" customFormat="false" ht="13.05" hidden="false" customHeight="true" outlineLevel="0" collapsed="false">
      <c r="A123" s="79"/>
      <c r="B123" s="82" t="s">
        <v>243</v>
      </c>
      <c r="C123" s="82"/>
      <c r="D123" s="82"/>
      <c r="E123" s="148" t="n">
        <f aca="false">ROUNDUP(E107*E122/(0.7*0.95)/1000,2)</f>
        <v>0.16</v>
      </c>
      <c r="F123" s="148" t="n">
        <f aca="false">ROUNDUP(F107*F122/(0.7*0.95)/1000,2)</f>
        <v>0.15</v>
      </c>
      <c r="H123" s="169" t="s">
        <v>244</v>
      </c>
      <c r="I123" s="169"/>
      <c r="J123" s="170" t="n">
        <f aca="false">ROUND(B85/J119,1)</f>
        <v>14.6</v>
      </c>
    </row>
    <row r="124" customFormat="false" ht="13.8" hidden="false" customHeight="false" outlineLevel="0" collapsed="false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</row>
    <row r="125" s="70" customFormat="true" ht="13.8" hidden="false" customHeight="false" outlineLevel="0" collapsed="false">
      <c r="G125" s="135"/>
      <c r="H125" s="135"/>
      <c r="I125" s="135"/>
      <c r="J125" s="135"/>
      <c r="K125" s="135"/>
      <c r="AMJ125" s="71"/>
    </row>
    <row r="126" s="70" customFormat="true" ht="13.8" hidden="false" customHeight="false" outlineLevel="0" collapsed="false">
      <c r="G126" s="135"/>
      <c r="H126" s="135"/>
      <c r="I126" s="135"/>
      <c r="J126" s="135"/>
      <c r="K126" s="135"/>
      <c r="AMJ126" s="71"/>
    </row>
    <row r="127" s="70" customFormat="true" ht="12.8" hidden="false" customHeight="false" outlineLevel="0" collapsed="false">
      <c r="AMJ127" s="71"/>
    </row>
    <row r="128" s="70" customFormat="true" ht="12.8" hidden="false" customHeight="false" outlineLevel="0" collapsed="false">
      <c r="AMJ128" s="71"/>
    </row>
  </sheetData>
  <mergeCells count="108">
    <mergeCell ref="A2:K2"/>
    <mergeCell ref="B4:G4"/>
    <mergeCell ref="B5:G5"/>
    <mergeCell ref="E6:G6"/>
    <mergeCell ref="A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F53:H53"/>
    <mergeCell ref="I53:K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0:F70"/>
    <mergeCell ref="A72:E72"/>
    <mergeCell ref="B81:G81"/>
    <mergeCell ref="H83:I83"/>
    <mergeCell ref="J83:K83"/>
    <mergeCell ref="B86:G86"/>
    <mergeCell ref="A88:K88"/>
    <mergeCell ref="B91:D91"/>
    <mergeCell ref="H91:I91"/>
    <mergeCell ref="B92:D92"/>
    <mergeCell ref="H92:I92"/>
    <mergeCell ref="B93:D93"/>
    <mergeCell ref="H93:I93"/>
    <mergeCell ref="B94:D94"/>
    <mergeCell ref="H94:I94"/>
    <mergeCell ref="B95:D95"/>
    <mergeCell ref="H95:I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G117:K117"/>
    <mergeCell ref="B118:D118"/>
    <mergeCell ref="B119:D119"/>
    <mergeCell ref="H119:I119"/>
    <mergeCell ref="B120:D120"/>
    <mergeCell ref="H120:I120"/>
    <mergeCell ref="B121:D121"/>
    <mergeCell ref="H121:I121"/>
    <mergeCell ref="B122:D122"/>
    <mergeCell ref="H122:I122"/>
    <mergeCell ref="B123:D123"/>
    <mergeCell ref="H123:I12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2018-04-20T11:59:44Z</dcterms:created>
  <dc:creator>User</dc:creator>
  <dc:description/>
  <dc:language>en-IN</dc:language>
  <cp:lastModifiedBy/>
  <dcterms:modified xsi:type="dcterms:W3CDTF">2021-03-18T17:10:18Z</dcterms:modified>
  <cp:revision>1489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