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hias Hald\Desktop\dtu\Pricing model\"/>
    </mc:Choice>
  </mc:AlternateContent>
  <xr:revisionPtr revIDLastSave="0" documentId="13_ncr:1_{0EE74D08-4515-401F-9614-72A5492A00CB}" xr6:coauthVersionLast="28" xr6:coauthVersionMax="28" xr10:uidLastSave="{00000000-0000-0000-0000-000000000000}"/>
  <bookViews>
    <workbookView xWindow="0" yWindow="0" windowWidth="19200" windowHeight="6940" tabRatio="692" activeTab="3" xr2:uid="{00000000-000D-0000-FFFF-FFFF00000000}"/>
  </bookViews>
  <sheets>
    <sheet name="Our Costs" sheetId="1" r:id="rId1"/>
    <sheet name="Our Pricing Models" sheetId="2" r:id="rId2"/>
    <sheet name="Customers" sheetId="6" r:id="rId3"/>
    <sheet name="Budget " sheetId="5" r:id="rId4"/>
    <sheet name="Competitors Pricing Models" sheetId="3" r:id="rId5"/>
    <sheet name="Time pr. clean" sheetId="4" r:id="rId6"/>
  </sheets>
  <calcPr calcId="171027"/>
</workbook>
</file>

<file path=xl/calcChain.xml><?xml version="1.0" encoding="utf-8"?>
<calcChain xmlns="http://schemas.openxmlformats.org/spreadsheetml/2006/main">
  <c r="C43" i="2" l="1"/>
  <c r="J67" i="2"/>
  <c r="B8" i="5" l="1"/>
  <c r="J68" i="2"/>
  <c r="J69" i="2"/>
  <c r="J70" i="2"/>
  <c r="B32" i="2"/>
  <c r="C50" i="2" l="1"/>
  <c r="D50" i="2"/>
  <c r="E50" i="2"/>
  <c r="F50" i="2"/>
  <c r="B50" i="2"/>
  <c r="B11" i="3"/>
  <c r="B5" i="3"/>
  <c r="B48" i="2"/>
  <c r="C49" i="2" l="1"/>
  <c r="D49" i="2"/>
  <c r="E49" i="2"/>
  <c r="F49" i="2"/>
  <c r="B49" i="2"/>
  <c r="C48" i="2"/>
  <c r="D48" i="2"/>
  <c r="E48" i="2"/>
  <c r="F48" i="2"/>
  <c r="F47" i="2" l="1"/>
  <c r="F51" i="2" s="1"/>
  <c r="F52" i="2" s="1"/>
  <c r="D47" i="2"/>
  <c r="D51" i="2" s="1"/>
  <c r="D52" i="2" s="1"/>
  <c r="E47" i="2"/>
  <c r="E51" i="2" s="1"/>
  <c r="E52" i="2" s="1"/>
  <c r="C47" i="2"/>
  <c r="C51" i="2" s="1"/>
  <c r="C52" i="2" s="1"/>
  <c r="B47" i="2"/>
  <c r="D11" i="5"/>
  <c r="C11" i="5"/>
  <c r="D88" i="2"/>
  <c r="B95" i="2"/>
  <c r="B11" i="5"/>
  <c r="B31" i="2"/>
  <c r="B28" i="2"/>
  <c r="B31" i="1"/>
  <c r="B51" i="2" l="1"/>
  <c r="B52" i="2" s="1"/>
  <c r="B13" i="1"/>
  <c r="D91" i="2"/>
  <c r="D82" i="2"/>
  <c r="D83" i="2"/>
  <c r="D84" i="2"/>
  <c r="D85" i="2"/>
  <c r="D86" i="2"/>
  <c r="D87" i="2"/>
  <c r="D89" i="2"/>
  <c r="D90" i="2"/>
  <c r="D81" i="2"/>
  <c r="D80" i="2"/>
  <c r="D79" i="2"/>
  <c r="B91" i="2"/>
  <c r="B80" i="2"/>
  <c r="B81" i="2"/>
  <c r="B82" i="2"/>
  <c r="B83" i="2"/>
  <c r="B84" i="2"/>
  <c r="B85" i="2"/>
  <c r="B86" i="2"/>
  <c r="B87" i="2"/>
  <c r="B88" i="2"/>
  <c r="B89" i="2"/>
  <c r="B90" i="2"/>
  <c r="B79" i="2"/>
  <c r="B23" i="1"/>
  <c r="B24" i="1"/>
  <c r="B25" i="1"/>
  <c r="B26" i="1"/>
  <c r="B22" i="1"/>
  <c r="B12" i="1"/>
  <c r="B11" i="1"/>
  <c r="B53" i="2" l="1"/>
  <c r="C53" i="2" s="1"/>
  <c r="D53" i="2" s="1"/>
  <c r="E53" i="2" s="1"/>
  <c r="F53" i="2" s="1"/>
  <c r="B27" i="1"/>
  <c r="B14" i="1" s="1"/>
  <c r="B15" i="1"/>
  <c r="B10" i="1"/>
  <c r="D13" i="3"/>
  <c r="D14" i="3"/>
  <c r="D15" i="3"/>
  <c r="D16" i="3"/>
  <c r="D8" i="3"/>
  <c r="D9" i="3"/>
  <c r="D10" i="3"/>
  <c r="D7" i="3"/>
  <c r="D6" i="3"/>
  <c r="D5" i="3"/>
  <c r="D17" i="3" s="1"/>
  <c r="D19" i="3" s="1"/>
  <c r="C19" i="3" s="1"/>
  <c r="C17" i="3" s="1"/>
  <c r="B28" i="3" l="1"/>
  <c r="B30" i="3" s="1"/>
  <c r="B94" i="2"/>
  <c r="B96" i="2" s="1"/>
  <c r="B17" i="1"/>
  <c r="B14" i="2" l="1"/>
  <c r="B15" i="2"/>
  <c r="B7" i="2"/>
  <c r="B8" i="2" s="1"/>
</calcChain>
</file>

<file path=xl/sharedStrings.xml><?xml version="1.0" encoding="utf-8"?>
<sst xmlns="http://schemas.openxmlformats.org/spreadsheetml/2006/main" count="152" uniqueCount="124">
  <si>
    <t>Construction of the Machine</t>
  </si>
  <si>
    <t>Maintenance and calibration / year</t>
  </si>
  <si>
    <t>Maintenance due tu usage / year</t>
  </si>
  <si>
    <t>Reci</t>
  </si>
  <si>
    <t>Done on 16-22 / 12-2016</t>
  </si>
  <si>
    <t>Decontamination of 6 pcs. provided by agreement (Partially performed as weekend work).</t>
  </si>
  <si>
    <t>Number of Units</t>
  </si>
  <si>
    <t>Price / Unit</t>
  </si>
  <si>
    <t>Chemicals for the task</t>
  </si>
  <si>
    <t>AfhTranport of equipment   and deal with the caretaker T / R</t>
  </si>
  <si>
    <t>1.800,00</t>
  </si>
  <si>
    <t>Service trolley</t>
  </si>
  <si>
    <t>Overtime diet</t>
  </si>
  <si>
    <t>Overtime allowance</t>
  </si>
  <si>
    <t>Service Provider / Hours</t>
  </si>
  <si>
    <r>
      <rPr>
        <b/>
        <sz val="10"/>
        <rFont val="Arial"/>
        <family val="2"/>
      </rPr>
      <t>Called for additional logbook performances by appointment (Performed in partial overtime)</t>
    </r>
    <r>
      <rPr>
        <sz val="10"/>
        <color rgb="FF000000"/>
        <rFont val="Arial"/>
        <family val="2"/>
      </rPr>
      <t>.</t>
    </r>
  </si>
  <si>
    <t>LServicemontor / timer</t>
  </si>
  <si>
    <t>leOvertidstillwg</t>
  </si>
  <si>
    <t>9Overtids dit</t>
  </si>
  <si>
    <t>Price / 6 units</t>
  </si>
  <si>
    <t>Cost each year</t>
  </si>
  <si>
    <t>y2</t>
  </si>
  <si>
    <t>y3</t>
  </si>
  <si>
    <t>y4</t>
  </si>
  <si>
    <t>y5</t>
  </si>
  <si>
    <t>Available day pr. year (5 days * 52 weeks)</t>
  </si>
  <si>
    <t>Intial cleaning</t>
  </si>
  <si>
    <t>Afffedtning</t>
  </si>
  <si>
    <t>Watering</t>
  </si>
  <si>
    <t xml:space="preserve">Drying </t>
  </si>
  <si>
    <t>minutes</t>
  </si>
  <si>
    <t>hours</t>
  </si>
  <si>
    <t xml:space="preserve">Passivering </t>
  </si>
  <si>
    <t>Affedtning</t>
  </si>
  <si>
    <t>Derouging</t>
  </si>
  <si>
    <t>12 Hours</t>
  </si>
  <si>
    <t>Zero the system</t>
  </si>
  <si>
    <t>Dekontaminering</t>
  </si>
  <si>
    <t xml:space="preserve">hours </t>
  </si>
  <si>
    <t>Cost pr. cleaning/operation</t>
  </si>
  <si>
    <t>Total costs</t>
  </si>
  <si>
    <t>Gasolin pr. trip (40 km 12 kr. pr liter)</t>
  </si>
  <si>
    <t>Chemistry priced material (invoice stated kr. 2.800 for 6 units)</t>
  </si>
  <si>
    <t>Profit</t>
  </si>
  <si>
    <t>Ex VAT</t>
  </si>
  <si>
    <t>Incl. VAT</t>
  </si>
  <si>
    <t>Maintance cost for a car (60 øre pr. km.)</t>
  </si>
  <si>
    <t>Our cost for one day of cleaning</t>
  </si>
  <si>
    <t>Grossprofit percentage</t>
  </si>
  <si>
    <t>Using the machine pr. day includes (construction, calibration and maintenance) capability 200 days each year</t>
  </si>
  <si>
    <t>y1</t>
  </si>
  <si>
    <t>Total</t>
  </si>
  <si>
    <t>For cleaning</t>
  </si>
  <si>
    <t>Maintenance subscription 1 year</t>
  </si>
  <si>
    <t>Gross profit</t>
  </si>
  <si>
    <t>One time buy incl. maintenance subscription</t>
  </si>
  <si>
    <t>Yearly membership</t>
  </si>
  <si>
    <t>Price for the machine</t>
  </si>
  <si>
    <t>Salary for a engineer / day (353 dkk * 8 hours)</t>
  </si>
  <si>
    <t>Salary for a driver / day (150 dkk * 8 hours)</t>
  </si>
  <si>
    <t>Price for membership</t>
  </si>
  <si>
    <t>Renting the machine</t>
  </si>
  <si>
    <t xml:space="preserve">yearly cost of the machine </t>
  </si>
  <si>
    <t xml:space="preserve">Price for each year of the machine </t>
  </si>
  <si>
    <t>Maintenance and calibration</t>
  </si>
  <si>
    <t>Yearly cost includes maintenance and calibration</t>
  </si>
  <si>
    <t xml:space="preserve">Renting price </t>
  </si>
  <si>
    <t>2 million</t>
  </si>
  <si>
    <t>1,5 millions</t>
  </si>
  <si>
    <t>Y1</t>
  </si>
  <si>
    <t>Finansieringsbudget</t>
  </si>
  <si>
    <t>Cost</t>
  </si>
  <si>
    <t>Cost for the machine includes maintenance and calibration</t>
  </si>
  <si>
    <t>Competitors cost pr. clean</t>
  </si>
  <si>
    <t xml:space="preserve">Y2 </t>
  </si>
  <si>
    <t>Y3</t>
  </si>
  <si>
    <t>Y4</t>
  </si>
  <si>
    <t>Estimation of cleaning pr. year</t>
  </si>
  <si>
    <t>Total cost pr. year (1 cleanings pr. week)</t>
  </si>
  <si>
    <t>Excluded Labor cost</t>
  </si>
  <si>
    <t xml:space="preserve">Comments: if you use the cleaning system for more than 13 pipes pr. year it will be proftiable to subscribe  </t>
  </si>
  <si>
    <t>Criteria</t>
  </si>
  <si>
    <t>Accumulated profit</t>
  </si>
  <si>
    <t>One Time Cleaning</t>
  </si>
  <si>
    <t xml:space="preserve">Cost of building a Machine </t>
  </si>
  <si>
    <t>Utility time (years)</t>
  </si>
  <si>
    <t>Maintenance price</t>
  </si>
  <si>
    <t>Price pr. cleaning/operation</t>
  </si>
  <si>
    <t>Acid up to 52 cleanings</t>
  </si>
  <si>
    <t>Yearly acid consume of cleaning 52 pipes</t>
  </si>
  <si>
    <t>Cloud based subscription</t>
  </si>
  <si>
    <t>Monthly price</t>
  </si>
  <si>
    <t>0 - 24</t>
  </si>
  <si>
    <t>25 - 39</t>
  </si>
  <si>
    <t>40+</t>
  </si>
  <si>
    <t>Customer class</t>
  </si>
  <si>
    <t>A</t>
  </si>
  <si>
    <t>B</t>
  </si>
  <si>
    <t>C</t>
  </si>
  <si>
    <t>Uses of clean pr. year</t>
  </si>
  <si>
    <t>Reports pr. year</t>
  </si>
  <si>
    <t xml:space="preserve">Up to 80 reports then 150 kr.for each  </t>
  </si>
  <si>
    <t xml:space="preserve">Renting </t>
  </si>
  <si>
    <t>One time Buy</t>
  </si>
  <si>
    <t>Subscripton</t>
  </si>
  <si>
    <t>Cloud service</t>
  </si>
  <si>
    <t>Tabel data</t>
  </si>
  <si>
    <t>Cloud service 2</t>
  </si>
  <si>
    <t>D</t>
  </si>
  <si>
    <t xml:space="preserve">Bronze </t>
  </si>
  <si>
    <t xml:space="preserve">Silver </t>
  </si>
  <si>
    <t>Gold</t>
  </si>
  <si>
    <t>Bronze</t>
  </si>
  <si>
    <t xml:space="preserve">Gold </t>
  </si>
  <si>
    <t>0 - 9</t>
  </si>
  <si>
    <t>10 - 24</t>
  </si>
  <si>
    <t>Price pr. report</t>
  </si>
  <si>
    <t>up to 80 reports</t>
  </si>
  <si>
    <t>Max contract</t>
  </si>
  <si>
    <t>Amount of inhouse</t>
  </si>
  <si>
    <t>New produced system</t>
  </si>
  <si>
    <t>(reveneu) from machines sold</t>
  </si>
  <si>
    <t>Maintenace deal</t>
  </si>
  <si>
    <t xml:space="preserve">Diamond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</si>
</sst>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kr.&quot;_-;\-* #,##0.00\ &quot;kr.&quot;_-;_-* &quot;-&quot;??\ &quot;kr.&quot;_-;_-@_-"/>
  </numFmts>
  <fonts count="20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B0080"/>
      <name val="Sans-serif"/>
    </font>
    <font>
      <sz val="10"/>
      <color rgb="FF000000"/>
      <name val="Arial"/>
      <family val="2"/>
    </font>
    <font>
      <sz val="11"/>
      <color rgb="FF222222"/>
      <name val="Sans-serif"/>
    </font>
    <font>
      <sz val="10"/>
      <color rgb="FF000000"/>
      <name val="&quot;Linux Libertine&quot;"/>
    </font>
    <font>
      <b/>
      <sz val="11"/>
      <color rgb="FF222222"/>
      <name val="Sans-serif"/>
    </font>
    <font>
      <u/>
      <sz val="11"/>
      <color rgb="FF0B0080"/>
      <name val="Sans-serif"/>
    </font>
    <font>
      <b/>
      <sz val="10"/>
      <color rgb="FF000000"/>
      <name val="Arial"/>
      <family val="2"/>
    </font>
    <font>
      <sz val="10"/>
      <color rgb="FF000000"/>
      <name val="&quot;Open Sans&quot;"/>
    </font>
    <font>
      <b/>
      <sz val="10"/>
      <color rgb="FF000000"/>
      <name val="&quot;Open Sans&quot;"/>
    </font>
    <font>
      <sz val="8"/>
      <color rgb="FF000000"/>
      <name val="Arial"/>
      <family val="2"/>
    </font>
    <font>
      <b/>
      <sz val="10"/>
      <color rgb="FF000000"/>
      <name val="&quot;Linux Libertine&quot;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8"/>
      <color rgb="FF000000"/>
      <name val="Arial"/>
      <family val="2"/>
    </font>
    <font>
      <b/>
      <sz val="18"/>
      <color rgb="FF000000"/>
      <name val="&quot;Linux Libertine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4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9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5" fillId="2" borderId="0" xfId="0" applyFont="1" applyFill="1" applyAlignment="1"/>
    <xf numFmtId="0" fontId="6" fillId="0" borderId="0" xfId="0" applyFont="1" applyAlignment="1"/>
    <xf numFmtId="0" fontId="7" fillId="2" borderId="0" xfId="0" applyFont="1" applyFill="1" applyAlignment="1"/>
    <xf numFmtId="0" fontId="8" fillId="0" borderId="0" xfId="0" applyFont="1" applyAlignment="1"/>
    <xf numFmtId="0" fontId="5" fillId="2" borderId="0" xfId="0" applyFont="1" applyFill="1" applyAlignment="1">
      <alignment horizontal="left"/>
    </xf>
    <xf numFmtId="0" fontId="1" fillId="0" borderId="0" xfId="0" applyFont="1"/>
    <xf numFmtId="0" fontId="10" fillId="2" borderId="0" xfId="0" applyFont="1" applyFill="1" applyAlignment="1">
      <alignment horizontal="left"/>
    </xf>
    <xf numFmtId="0" fontId="11" fillId="2" borderId="0" xfId="0" applyFont="1" applyFill="1" applyAlignment="1"/>
    <xf numFmtId="0" fontId="9" fillId="2" borderId="0" xfId="0" applyFont="1" applyFill="1" applyAlignment="1"/>
    <xf numFmtId="0" fontId="4" fillId="2" borderId="0" xfId="0" applyFont="1" applyFill="1" applyAlignment="1">
      <alignment horizontal="left"/>
    </xf>
    <xf numFmtId="0" fontId="4" fillId="2" borderId="0" xfId="0" applyFont="1" applyFill="1" applyAlignment="1"/>
    <xf numFmtId="0" fontId="12" fillId="0" borderId="0" xfId="0" applyFont="1" applyAlignment="1">
      <alignment horizontal="righ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2" fillId="0" borderId="0" xfId="0" applyFont="1" applyAlignment="1">
      <alignment horizontal="right" vertical="top"/>
    </xf>
    <xf numFmtId="44" fontId="0" fillId="0" borderId="0" xfId="1" applyFont="1" applyAlignment="1"/>
    <xf numFmtId="44" fontId="3" fillId="0" borderId="0" xfId="1" applyFont="1" applyAlignment="1"/>
    <xf numFmtId="0" fontId="14" fillId="0" borderId="0" xfId="0" applyFont="1" applyAlignment="1"/>
    <xf numFmtId="0" fontId="15" fillId="0" borderId="0" xfId="0" applyFont="1" applyAlignment="1"/>
    <xf numFmtId="0" fontId="16" fillId="0" borderId="0" xfId="0" applyFont="1" applyAlignment="1"/>
    <xf numFmtId="44" fontId="0" fillId="0" borderId="0" xfId="0" applyNumberFormat="1" applyFont="1" applyAlignment="1"/>
    <xf numFmtId="44" fontId="16" fillId="0" borderId="1" xfId="1" applyFont="1" applyBorder="1" applyAlignment="1"/>
    <xf numFmtId="0" fontId="16" fillId="0" borderId="1" xfId="0" applyFont="1" applyBorder="1" applyAlignment="1"/>
    <xf numFmtId="44" fontId="0" fillId="0" borderId="1" xfId="1" applyFont="1" applyBorder="1" applyAlignment="1"/>
    <xf numFmtId="0" fontId="0" fillId="0" borderId="1" xfId="0" applyFont="1" applyBorder="1" applyAlignment="1"/>
    <xf numFmtId="44" fontId="2" fillId="0" borderId="1" xfId="1" applyFont="1" applyBorder="1" applyAlignment="1"/>
    <xf numFmtId="44" fontId="14" fillId="0" borderId="1" xfId="0" applyNumberFormat="1" applyFont="1" applyBorder="1" applyAlignment="1"/>
    <xf numFmtId="0" fontId="17" fillId="0" borderId="1" xfId="0" applyFont="1" applyBorder="1" applyAlignment="1"/>
    <xf numFmtId="44" fontId="12" fillId="2" borderId="0" xfId="1" applyFont="1" applyFill="1" applyAlignment="1">
      <alignment horizontal="right"/>
    </xf>
    <xf numFmtId="44" fontId="12" fillId="0" borderId="0" xfId="1" applyFont="1" applyAlignment="1">
      <alignment horizontal="right"/>
    </xf>
    <xf numFmtId="44" fontId="12" fillId="0" borderId="0" xfId="1" applyFont="1" applyAlignment="1">
      <alignment horizontal="left"/>
    </xf>
    <xf numFmtId="44" fontId="2" fillId="0" borderId="0" xfId="1" applyFont="1" applyAlignment="1">
      <alignment vertical="top"/>
    </xf>
    <xf numFmtId="44" fontId="12" fillId="0" borderId="0" xfId="1" applyFont="1" applyAlignment="1">
      <alignment horizontal="right" vertical="top"/>
    </xf>
    <xf numFmtId="0" fontId="15" fillId="0" borderId="1" xfId="0" applyFont="1" applyBorder="1" applyAlignment="1"/>
    <xf numFmtId="44" fontId="0" fillId="0" borderId="1" xfId="0" applyNumberFormat="1" applyFont="1" applyBorder="1" applyAlignment="1"/>
    <xf numFmtId="9" fontId="0" fillId="0" borderId="1" xfId="2" applyFont="1" applyBorder="1" applyAlignment="1"/>
    <xf numFmtId="0" fontId="15" fillId="0" borderId="2" xfId="0" applyFont="1" applyBorder="1" applyAlignment="1"/>
    <xf numFmtId="44" fontId="0" fillId="0" borderId="2" xfId="1" applyFont="1" applyBorder="1" applyAlignment="1"/>
    <xf numFmtId="44" fontId="2" fillId="0" borderId="2" xfId="1" applyFont="1" applyBorder="1" applyAlignment="1"/>
    <xf numFmtId="0" fontId="15" fillId="0" borderId="1" xfId="0" applyFont="1" applyFill="1" applyBorder="1" applyAlignment="1"/>
    <xf numFmtId="0" fontId="15" fillId="0" borderId="2" xfId="0" applyFont="1" applyFill="1" applyBorder="1" applyAlignment="1"/>
    <xf numFmtId="0" fontId="14" fillId="0" borderId="2" xfId="0" applyFont="1" applyBorder="1" applyAlignment="1">
      <alignment horizontal="center"/>
    </xf>
    <xf numFmtId="44" fontId="15" fillId="0" borderId="2" xfId="0" applyNumberFormat="1" applyFont="1" applyBorder="1" applyAlignment="1">
      <alignment horizontal="center"/>
    </xf>
    <xf numFmtId="0" fontId="15" fillId="0" borderId="2" xfId="0" applyFont="1" applyBorder="1" applyAlignment="1">
      <alignment horizontal="left"/>
    </xf>
    <xf numFmtId="0" fontId="0" fillId="0" borderId="2" xfId="0" applyFont="1" applyBorder="1" applyAlignment="1"/>
    <xf numFmtId="0" fontId="16" fillId="0" borderId="2" xfId="0" applyFont="1" applyBorder="1" applyAlignment="1"/>
    <xf numFmtId="44" fontId="16" fillId="0" borderId="2" xfId="1" applyFont="1" applyBorder="1" applyAlignment="1"/>
    <xf numFmtId="0" fontId="2" fillId="0" borderId="1" xfId="0" applyFont="1" applyBorder="1" applyAlignment="1"/>
    <xf numFmtId="0" fontId="15" fillId="0" borderId="0" xfId="0" applyFont="1" applyFill="1" applyBorder="1" applyAlignment="1"/>
    <xf numFmtId="0" fontId="15" fillId="0" borderId="8" xfId="0" applyFont="1" applyBorder="1" applyAlignment="1"/>
    <xf numFmtId="44" fontId="0" fillId="0" borderId="9" xfId="1" applyFont="1" applyBorder="1" applyAlignment="1"/>
    <xf numFmtId="0" fontId="15" fillId="0" borderId="10" xfId="0" applyFont="1" applyFill="1" applyBorder="1" applyAlignment="1"/>
    <xf numFmtId="44" fontId="0" fillId="0" borderId="11" xfId="1" applyFont="1" applyBorder="1" applyAlignment="1"/>
    <xf numFmtId="9" fontId="0" fillId="0" borderId="0" xfId="2" applyFont="1" applyBorder="1" applyAlignment="1"/>
    <xf numFmtId="0" fontId="15" fillId="0" borderId="12" xfId="0" applyFont="1" applyBorder="1" applyAlignment="1"/>
    <xf numFmtId="44" fontId="0" fillId="0" borderId="13" xfId="1" applyFont="1" applyBorder="1" applyAlignment="1"/>
    <xf numFmtId="44" fontId="2" fillId="0" borderId="0" xfId="0" applyNumberFormat="1" applyFont="1" applyAlignment="1"/>
    <xf numFmtId="44" fontId="2" fillId="0" borderId="0" xfId="0" applyNumberFormat="1" applyFont="1" applyAlignment="1">
      <alignment vertical="top"/>
    </xf>
    <xf numFmtId="0" fontId="0" fillId="0" borderId="0" xfId="0" applyNumberFormat="1" applyFont="1" applyAlignment="1"/>
    <xf numFmtId="0" fontId="15" fillId="0" borderId="0" xfId="0" applyNumberFormat="1" applyFont="1" applyAlignment="1"/>
    <xf numFmtId="16" fontId="15" fillId="0" borderId="1" xfId="0" quotePrefix="1" applyNumberFormat="1" applyFont="1" applyBorder="1" applyAlignment="1"/>
    <xf numFmtId="17" fontId="15" fillId="0" borderId="1" xfId="0" quotePrefix="1" applyNumberFormat="1" applyFont="1" applyBorder="1" applyAlignment="1"/>
    <xf numFmtId="0" fontId="15" fillId="0" borderId="1" xfId="0" applyNumberFormat="1" applyFont="1" applyBorder="1" applyAlignment="1"/>
    <xf numFmtId="17" fontId="0" fillId="0" borderId="2" xfId="0" applyNumberFormat="1" applyFont="1" applyBorder="1" applyAlignment="1"/>
    <xf numFmtId="44" fontId="15" fillId="0" borderId="2" xfId="1" applyFont="1" applyBorder="1" applyAlignment="1"/>
    <xf numFmtId="0" fontId="18" fillId="0" borderId="0" xfId="0" applyFont="1" applyAlignment="1"/>
    <xf numFmtId="0" fontId="18" fillId="0" borderId="14" xfId="0" applyFont="1" applyBorder="1" applyAlignment="1"/>
    <xf numFmtId="0" fontId="15" fillId="0" borderId="1" xfId="0" quotePrefix="1" applyFont="1" applyFill="1" applyBorder="1" applyAlignment="1"/>
    <xf numFmtId="0" fontId="0" fillId="0" borderId="0" xfId="0" applyFont="1" applyBorder="1" applyAlignment="1"/>
    <xf numFmtId="44" fontId="0" fillId="0" borderId="0" xfId="1" applyFont="1" applyFill="1" applyBorder="1" applyAlignment="1"/>
    <xf numFmtId="0" fontId="17" fillId="0" borderId="6" xfId="0" applyFont="1" applyBorder="1" applyAlignment="1">
      <alignment horizontal="center"/>
    </xf>
    <xf numFmtId="0" fontId="17" fillId="0" borderId="7" xfId="0" applyFont="1" applyBorder="1" applyAlignment="1">
      <alignment horizontal="center"/>
    </xf>
    <xf numFmtId="0" fontId="17" fillId="0" borderId="3" xfId="0" applyFont="1" applyBorder="1" applyAlignment="1">
      <alignment horizontal="center"/>
    </xf>
    <xf numFmtId="0" fontId="17" fillId="0" borderId="4" xfId="0" applyFont="1" applyBorder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0" fontId="18" fillId="0" borderId="0" xfId="0" applyFont="1" applyAlignment="1">
      <alignment horizont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3" fillId="0" borderId="3" xfId="0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4" fillId="0" borderId="1" xfId="0" applyFont="1" applyBorder="1" applyAlignment="1"/>
  </cellXfs>
  <cellStyles count="3">
    <cellStyle name="Normal" xfId="0" builtinId="0"/>
    <cellStyle name="Procent" xfId="2" builtinId="5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a-DK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a-DK"/>
              <a:t>Different between single and membership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da-DK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'Our Pricing Models'!$A$79:$A$91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E4-427F-B431-84958A36571B}"/>
            </c:ext>
          </c:extLst>
        </c:ser>
        <c:ser>
          <c:idx val="1"/>
          <c:order val="1"/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'Our Pricing Models'!$B$79:$B$91</c:f>
              <c:numCache>
                <c:formatCode>_("kr."* #,##0.00_);_("kr."* \(#,##0.00\);_("kr."* "-"??_);_(@_)</c:formatCode>
                <c:ptCount val="13"/>
                <c:pt idx="0">
                  <c:v>20000</c:v>
                </c:pt>
                <c:pt idx="1">
                  <c:v>40000</c:v>
                </c:pt>
                <c:pt idx="2">
                  <c:v>60000</c:v>
                </c:pt>
                <c:pt idx="3">
                  <c:v>80000</c:v>
                </c:pt>
                <c:pt idx="4">
                  <c:v>100000</c:v>
                </c:pt>
                <c:pt idx="5">
                  <c:v>120000</c:v>
                </c:pt>
                <c:pt idx="6">
                  <c:v>140000</c:v>
                </c:pt>
                <c:pt idx="7">
                  <c:v>160000</c:v>
                </c:pt>
                <c:pt idx="8">
                  <c:v>180000</c:v>
                </c:pt>
                <c:pt idx="9">
                  <c:v>200000</c:v>
                </c:pt>
                <c:pt idx="10">
                  <c:v>220000</c:v>
                </c:pt>
                <c:pt idx="11">
                  <c:v>240000</c:v>
                </c:pt>
                <c:pt idx="12">
                  <c:v>260000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E4-427F-B431-84958A36571B}"/>
            </c:ext>
          </c:extLst>
        </c:ser>
        <c:ser>
          <c:idx val="3"/>
          <c:order val="2"/>
          <c:spPr>
            <a:ln w="22225" cap="rnd" cmpd="sng" algn="ctr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'Our Pricing Models'!$D$79:$D$91</c:f>
              <c:numCache>
                <c:formatCode>_("kr."* #,##0.00_);_("kr."* \(#,##0.00\);_("kr."* "-"??_);_(@_)</c:formatCode>
                <c:ptCount val="13"/>
                <c:pt idx="0">
                  <c:v>112000</c:v>
                </c:pt>
                <c:pt idx="1">
                  <c:v>124000</c:v>
                </c:pt>
                <c:pt idx="2">
                  <c:v>136000</c:v>
                </c:pt>
                <c:pt idx="3">
                  <c:v>148000</c:v>
                </c:pt>
                <c:pt idx="4">
                  <c:v>160000</c:v>
                </c:pt>
                <c:pt idx="5">
                  <c:v>172000</c:v>
                </c:pt>
                <c:pt idx="6">
                  <c:v>184000</c:v>
                </c:pt>
                <c:pt idx="7">
                  <c:v>196000</c:v>
                </c:pt>
                <c:pt idx="8">
                  <c:v>208000</c:v>
                </c:pt>
                <c:pt idx="9">
                  <c:v>220000</c:v>
                </c:pt>
                <c:pt idx="10">
                  <c:v>232000</c:v>
                </c:pt>
                <c:pt idx="11">
                  <c:v>244000</c:v>
                </c:pt>
                <c:pt idx="12">
                  <c:v>256000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7E4-427F-B431-84958A36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432265464"/>
        <c:axId val="432260544"/>
      </c:lineChart>
      <c:catAx>
        <c:axId val="4322654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2260544"/>
        <c:crosses val="autoZero"/>
        <c:auto val="1"/>
        <c:lblAlgn val="ctr"/>
        <c:lblOffset val="100"/>
        <c:noMultiLvlLbl val="0"/>
      </c:catAx>
      <c:valAx>
        <c:axId val="432260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a-DK"/>
          </a:p>
        </c:txPr>
        <c:crossAx val="43226546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a-DK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1408112</xdr:colOff>
      <xdr:row>2</xdr:row>
      <xdr:rowOff>179388</xdr:rowOff>
    </xdr:from>
    <xdr:to>
      <xdr:col>5</xdr:col>
      <xdr:colOff>93662</xdr:colOff>
      <xdr:row>16</xdr:row>
      <xdr:rowOff>166688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ACC9B5D4-4D0C-482C-AC8D-F2F6415AD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32"/>
  <sheetViews>
    <sheetView topLeftCell="A28" zoomScale="80" zoomScaleNormal="80" workbookViewId="0">
      <selection activeCell="C9" sqref="C9"/>
    </sheetView>
  </sheetViews>
  <sheetFormatPr defaultColWidth="14.453125" defaultRowHeight="15.75" customHeight="1"/>
  <cols>
    <col min="1" max="1" width="31.90625" customWidth="1"/>
    <col min="2" max="2" width="35.81640625" customWidth="1"/>
    <col min="3" max="3" width="30.54296875" customWidth="1"/>
  </cols>
  <sheetData>
    <row r="1" spans="1:26" ht="15.75" customHeight="1" thickBot="1">
      <c r="C1" s="1"/>
      <c r="D1" s="1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5.75" customHeight="1" thickBot="1">
      <c r="A2" s="77" t="s">
        <v>84</v>
      </c>
      <c r="B2" s="78"/>
      <c r="C2" s="24"/>
    </row>
    <row r="3" spans="1:26" ht="15.75" customHeight="1">
      <c r="A3" s="52" t="s">
        <v>0</v>
      </c>
      <c r="B3" s="30">
        <v>1000000</v>
      </c>
      <c r="C3" s="2"/>
    </row>
    <row r="4" spans="1:26" ht="15.75" customHeight="1">
      <c r="A4" s="52" t="s">
        <v>1</v>
      </c>
      <c r="B4" s="30">
        <v>50000</v>
      </c>
      <c r="C4" s="2"/>
      <c r="D4" s="2"/>
    </row>
    <row r="5" spans="1:26" ht="15.75" customHeight="1">
      <c r="A5" s="52" t="s">
        <v>2</v>
      </c>
      <c r="B5" s="30">
        <v>50000</v>
      </c>
      <c r="C5" s="2"/>
    </row>
    <row r="6" spans="1:26" ht="15.75" customHeight="1">
      <c r="A6" s="27" t="s">
        <v>85</v>
      </c>
      <c r="B6" s="52">
        <v>5</v>
      </c>
      <c r="C6" s="2"/>
    </row>
    <row r="7" spans="1:26" ht="15.75" customHeight="1">
      <c r="A7" s="24"/>
      <c r="B7" s="2"/>
      <c r="C7" s="2"/>
    </row>
    <row r="8" spans="1:26" ht="15.75" customHeight="1" thickBot="1">
      <c r="A8" s="24"/>
      <c r="B8" s="2"/>
      <c r="C8" s="2"/>
    </row>
    <row r="9" spans="1:26" ht="15.75" customHeight="1" thickBot="1">
      <c r="A9" s="75" t="s">
        <v>47</v>
      </c>
      <c r="B9" s="76"/>
      <c r="C9" s="2"/>
      <c r="E9" t="s">
        <v>68</v>
      </c>
    </row>
    <row r="10" spans="1:26" ht="15.75" customHeight="1">
      <c r="A10" s="50" t="s">
        <v>41</v>
      </c>
      <c r="B10" s="51">
        <f>12*4</f>
        <v>48</v>
      </c>
      <c r="C10" s="2"/>
      <c r="E10" t="s">
        <v>67</v>
      </c>
    </row>
    <row r="11" spans="1:26" ht="15.75" customHeight="1">
      <c r="A11" s="27" t="s">
        <v>46</v>
      </c>
      <c r="B11" s="26">
        <f>0.6*40</f>
        <v>24</v>
      </c>
      <c r="C11" s="2"/>
    </row>
    <row r="12" spans="1:26" ht="15.75" customHeight="1">
      <c r="A12" s="27" t="s">
        <v>58</v>
      </c>
      <c r="B12" s="28">
        <f>353*8</f>
        <v>2824</v>
      </c>
      <c r="C12" s="2"/>
    </row>
    <row r="13" spans="1:26" ht="15.75" customHeight="1">
      <c r="A13" s="27" t="s">
        <v>59</v>
      </c>
      <c r="B13" s="28">
        <f>150*8</f>
        <v>1200</v>
      </c>
    </row>
    <row r="14" spans="1:26" ht="15.75" customHeight="1">
      <c r="A14" s="27" t="s">
        <v>49</v>
      </c>
      <c r="B14" s="28">
        <f>B27/(200*B6)</f>
        <v>1500</v>
      </c>
    </row>
    <row r="15" spans="1:26" ht="15.75" customHeight="1">
      <c r="A15" s="27" t="s">
        <v>42</v>
      </c>
      <c r="B15" s="30">
        <f>2800/6</f>
        <v>466.66666666666669</v>
      </c>
    </row>
    <row r="16" spans="1:26" ht="15.75" customHeight="1">
      <c r="A16" s="29"/>
      <c r="B16" s="29"/>
      <c r="C16" s="2"/>
    </row>
    <row r="17" spans="1:2" ht="15.75" customHeight="1">
      <c r="A17" s="32" t="s">
        <v>40</v>
      </c>
      <c r="B17" s="31">
        <f>SUM(B10:B16)</f>
        <v>6062.666666666667</v>
      </c>
    </row>
    <row r="21" spans="1:2" ht="15.75" customHeight="1">
      <c r="A21" t="s">
        <v>20</v>
      </c>
    </row>
    <row r="22" spans="1:2" ht="15.75" customHeight="1">
      <c r="A22" s="23" t="s">
        <v>50</v>
      </c>
      <c r="B22" s="25">
        <f>B3+B4+B5</f>
        <v>1100000</v>
      </c>
    </row>
    <row r="23" spans="1:2" ht="15.75" customHeight="1">
      <c r="A23" s="23" t="s">
        <v>21</v>
      </c>
      <c r="B23" s="25">
        <f>$B$4+$B$5</f>
        <v>100000</v>
      </c>
    </row>
    <row r="24" spans="1:2" ht="15.75" customHeight="1">
      <c r="A24" t="s">
        <v>22</v>
      </c>
      <c r="B24" s="25">
        <f>$B$4+$B$5</f>
        <v>100000</v>
      </c>
    </row>
    <row r="25" spans="1:2" ht="15.75" customHeight="1">
      <c r="A25" t="s">
        <v>23</v>
      </c>
      <c r="B25" s="25">
        <f>$B$4+$B$5</f>
        <v>100000</v>
      </c>
    </row>
    <row r="26" spans="1:2" ht="15.75" customHeight="1">
      <c r="A26" t="s">
        <v>24</v>
      </c>
      <c r="B26" s="25">
        <f>$B$4+$B$5</f>
        <v>100000</v>
      </c>
    </row>
    <row r="27" spans="1:2" ht="15.75" customHeight="1">
      <c r="A27" s="23" t="s">
        <v>51</v>
      </c>
      <c r="B27" s="25">
        <f>SUM(B22:B26)</f>
        <v>1500000</v>
      </c>
    </row>
    <row r="30" spans="1:2" ht="15.75" customHeight="1">
      <c r="A30" t="s">
        <v>62</v>
      </c>
    </row>
    <row r="31" spans="1:2" ht="15.75" customHeight="1">
      <c r="A31" t="s">
        <v>63</v>
      </c>
      <c r="B31" s="25">
        <f>B3/5</f>
        <v>200000</v>
      </c>
    </row>
    <row r="32" spans="1:2" ht="15.75" customHeight="1">
      <c r="A32" t="s">
        <v>64</v>
      </c>
      <c r="B32" s="20">
        <v>100000</v>
      </c>
    </row>
  </sheetData>
  <mergeCells count="2">
    <mergeCell ref="A9:B9"/>
    <mergeCell ref="A2:B2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6"/>
  <sheetViews>
    <sheetView showGridLines="0" topLeftCell="A8" zoomScale="70" zoomScaleNormal="70" workbookViewId="0">
      <selection activeCell="H35" sqref="H35"/>
    </sheetView>
  </sheetViews>
  <sheetFormatPr defaultColWidth="14.453125" defaultRowHeight="15.75" customHeight="1"/>
  <cols>
    <col min="1" max="1" width="43.6328125" customWidth="1"/>
    <col min="2" max="2" width="17.6328125" customWidth="1"/>
    <col min="3" max="3" width="17.54296875" customWidth="1"/>
    <col min="4" max="4" width="15.90625" customWidth="1"/>
    <col min="5" max="5" width="16.1796875" customWidth="1"/>
    <col min="6" max="6" width="15.26953125" customWidth="1"/>
  </cols>
  <sheetData>
    <row r="1" spans="1:6" ht="15.75" customHeight="1">
      <c r="A1" s="6"/>
      <c r="B1" s="2"/>
      <c r="C1" s="2"/>
      <c r="D1" s="2"/>
    </row>
    <row r="2" spans="1:6" ht="15.75" customHeight="1">
      <c r="A2" s="5"/>
      <c r="B2" s="2"/>
      <c r="C2" s="2"/>
      <c r="D2" s="4"/>
    </row>
    <row r="3" spans="1:6" ht="15.75" customHeight="1">
      <c r="A3" s="5"/>
      <c r="C3" s="2"/>
      <c r="D3" s="3"/>
    </row>
    <row r="4" spans="1:6" ht="30.5" customHeight="1" thickBot="1">
      <c r="A4" s="81" t="s">
        <v>104</v>
      </c>
      <c r="B4" s="81"/>
      <c r="C4" s="2"/>
      <c r="D4" s="7"/>
    </row>
    <row r="5" spans="1:6" ht="15.75" customHeight="1" thickBot="1">
      <c r="A5" s="84" t="s">
        <v>83</v>
      </c>
      <c r="B5" s="85"/>
      <c r="F5" s="23"/>
    </row>
    <row r="6" spans="1:6" ht="15.75" customHeight="1">
      <c r="A6" s="41" t="s">
        <v>87</v>
      </c>
      <c r="B6" s="42">
        <v>20000</v>
      </c>
    </row>
    <row r="7" spans="1:6" ht="15.75" customHeight="1">
      <c r="A7" s="38" t="s">
        <v>43</v>
      </c>
      <c r="B7" s="39">
        <f>B6-'Our Costs'!B17</f>
        <v>13937.333333333332</v>
      </c>
    </row>
    <row r="8" spans="1:6" ht="15.75" customHeight="1">
      <c r="A8" s="38" t="s">
        <v>48</v>
      </c>
      <c r="B8" s="40">
        <f>B7/B6</f>
        <v>0.69686666666666663</v>
      </c>
    </row>
    <row r="10" spans="1:6" ht="15.75" customHeight="1" thickBot="1">
      <c r="A10" s="23"/>
      <c r="E10" s="23"/>
    </row>
    <row r="11" spans="1:6" ht="15.75" customHeight="1" thickBot="1">
      <c r="A11" s="86" t="s">
        <v>56</v>
      </c>
      <c r="B11" s="87"/>
      <c r="C11" s="20"/>
      <c r="D11" s="20"/>
      <c r="E11" s="20"/>
      <c r="F11" s="20"/>
    </row>
    <row r="12" spans="1:6" ht="15.75" customHeight="1">
      <c r="A12" s="41" t="s">
        <v>60</v>
      </c>
      <c r="B12" s="43">
        <v>100000</v>
      </c>
    </row>
    <row r="13" spans="1:6" ht="15.75" customHeight="1">
      <c r="A13" s="38" t="s">
        <v>39</v>
      </c>
      <c r="B13" s="28">
        <v>12000</v>
      </c>
    </row>
    <row r="14" spans="1:6" ht="15.75" customHeight="1">
      <c r="A14" s="38" t="s">
        <v>43</v>
      </c>
      <c r="B14" s="39">
        <f>B13-'Our Costs'!B17</f>
        <v>5937.333333333333</v>
      </c>
    </row>
    <row r="15" spans="1:6" ht="15.75" customHeight="1">
      <c r="A15" s="38" t="s">
        <v>48</v>
      </c>
      <c r="B15" s="40">
        <f>(B13-'Our Costs'!B17)/'Our Pricing Models'!B13</f>
        <v>0.49477777777777776</v>
      </c>
    </row>
    <row r="16" spans="1:6" ht="15.75" customHeight="1">
      <c r="A16" s="23" t="s">
        <v>80</v>
      </c>
    </row>
    <row r="26" spans="1:2" ht="22" customHeight="1" thickBot="1">
      <c r="A26" s="82" t="s">
        <v>103</v>
      </c>
      <c r="B26" s="82"/>
    </row>
    <row r="27" spans="1:2" ht="15.75" customHeight="1" thickBot="1">
      <c r="A27" s="79" t="s">
        <v>55</v>
      </c>
      <c r="B27" s="80"/>
    </row>
    <row r="28" spans="1:2" ht="15.75" customHeight="1">
      <c r="A28" s="48" t="s">
        <v>72</v>
      </c>
      <c r="B28" s="47">
        <f>'Our Costs'!B3+'Our Costs'!B4+'Our Costs'!B5</f>
        <v>1100000</v>
      </c>
    </row>
    <row r="29" spans="1:2" ht="15.75" customHeight="1">
      <c r="A29" s="45" t="s">
        <v>57</v>
      </c>
      <c r="B29" s="42">
        <v>1500000</v>
      </c>
    </row>
    <row r="30" spans="1:2" ht="15.75" customHeight="1">
      <c r="A30" s="44" t="s">
        <v>53</v>
      </c>
      <c r="B30" s="28">
        <v>200000</v>
      </c>
    </row>
    <row r="31" spans="1:2" ht="15.75" customHeight="1">
      <c r="A31" s="44" t="s">
        <v>43</v>
      </c>
      <c r="B31" s="28">
        <f>(B29+B30)-('Our Costs'!B3+'Our Costs'!B4+'Our Costs'!B5)</f>
        <v>600000</v>
      </c>
    </row>
    <row r="32" spans="1:2" ht="15.75" customHeight="1">
      <c r="A32" s="44" t="s">
        <v>54</v>
      </c>
      <c r="B32" s="40">
        <f>B31/('Our Costs'!B3+'Our Costs'!B4+'Our Costs'!B5)</f>
        <v>0.54545454545454541</v>
      </c>
    </row>
    <row r="33" spans="1:6" ht="15.75" customHeight="1">
      <c r="A33" s="53"/>
      <c r="B33" s="58"/>
    </row>
    <row r="34" spans="1:6" ht="15.75" customHeight="1">
      <c r="A34" s="53"/>
      <c r="B34" s="58"/>
    </row>
    <row r="35" spans="1:6" ht="15.75" customHeight="1">
      <c r="A35" s="53"/>
      <c r="B35" s="58"/>
    </row>
    <row r="36" spans="1:6" ht="15.75" customHeight="1">
      <c r="A36" s="53"/>
      <c r="B36" s="58"/>
    </row>
    <row r="37" spans="1:6" ht="15.75" customHeight="1">
      <c r="A37" s="53"/>
      <c r="B37" s="58"/>
    </row>
    <row r="38" spans="1:6" ht="15.75" customHeight="1">
      <c r="A38" s="53"/>
      <c r="B38" s="58"/>
    </row>
    <row r="39" spans="1:6" ht="15.75" customHeight="1">
      <c r="A39" s="53"/>
      <c r="B39" s="58"/>
    </row>
    <row r="40" spans="1:6" ht="1" customHeight="1">
      <c r="A40" s="53"/>
      <c r="B40" s="58"/>
    </row>
    <row r="41" spans="1:6" ht="22.5" customHeight="1" thickBot="1">
      <c r="A41" s="82" t="s">
        <v>102</v>
      </c>
      <c r="B41" s="82"/>
      <c r="C41" s="70"/>
      <c r="D41" s="70"/>
      <c r="E41" s="70"/>
      <c r="F41" s="70"/>
    </row>
    <row r="42" spans="1:6" ht="15.75" customHeight="1">
      <c r="A42" s="54" t="s">
        <v>66</v>
      </c>
      <c r="B42" s="55">
        <v>500000</v>
      </c>
    </row>
    <row r="43" spans="1:6" ht="15.75" customHeight="1">
      <c r="A43" s="59" t="s">
        <v>89</v>
      </c>
      <c r="B43" s="60">
        <v>19283</v>
      </c>
      <c r="C43" s="25">
        <f>B43/52</f>
        <v>370.82692307692309</v>
      </c>
    </row>
    <row r="44" spans="1:6" ht="15.75" customHeight="1" thickBot="1">
      <c r="A44" s="56" t="s">
        <v>86</v>
      </c>
      <c r="B44" s="57">
        <v>0</v>
      </c>
    </row>
    <row r="45" spans="1:6" ht="15.75" customHeight="1" thickBot="1">
      <c r="A45" s="79" t="s">
        <v>61</v>
      </c>
      <c r="B45" s="88"/>
      <c r="C45" s="88"/>
      <c r="D45" s="88"/>
      <c r="E45" s="88"/>
      <c r="F45" s="80"/>
    </row>
    <row r="46" spans="1:6" ht="15.75" customHeight="1">
      <c r="A46" s="46"/>
      <c r="B46" s="48" t="s">
        <v>50</v>
      </c>
      <c r="C46" s="49" t="s">
        <v>21</v>
      </c>
      <c r="D46" s="48" t="s">
        <v>22</v>
      </c>
      <c r="E46" s="49" t="s">
        <v>23</v>
      </c>
      <c r="F46" s="48" t="s">
        <v>24</v>
      </c>
    </row>
    <row r="47" spans="1:6" ht="15.75" customHeight="1">
      <c r="A47" s="45" t="s">
        <v>65</v>
      </c>
      <c r="B47" s="42">
        <f>'Our Costs'!B3+'Our Costs'!B4+'Our Costs'!B5</f>
        <v>1100000</v>
      </c>
      <c r="C47" s="39">
        <f>'Our Costs'!$B$4+'Our Costs'!$B$5</f>
        <v>100000</v>
      </c>
      <c r="D47" s="39">
        <f>'Our Costs'!$B$4+'Our Costs'!$B$5</f>
        <v>100000</v>
      </c>
      <c r="E47" s="39">
        <f>'Our Costs'!$B$4+'Our Costs'!$B$5</f>
        <v>100000</v>
      </c>
      <c r="F47" s="39">
        <f>'Our Costs'!$B$4+'Our Costs'!$B$5</f>
        <v>100000</v>
      </c>
    </row>
    <row r="48" spans="1:6" ht="15.75" customHeight="1">
      <c r="A48" s="45" t="s">
        <v>66</v>
      </c>
      <c r="B48" s="42">
        <f>$B$42</f>
        <v>500000</v>
      </c>
      <c r="C48" s="42">
        <f t="shared" ref="C48:F48" si="0">$B$42</f>
        <v>500000</v>
      </c>
      <c r="D48" s="42">
        <f t="shared" si="0"/>
        <v>500000</v>
      </c>
      <c r="E48" s="42">
        <f t="shared" si="0"/>
        <v>500000</v>
      </c>
      <c r="F48" s="42">
        <f t="shared" si="0"/>
        <v>500000</v>
      </c>
    </row>
    <row r="49" spans="1:8" ht="15.75" customHeight="1">
      <c r="A49" s="45" t="s">
        <v>86</v>
      </c>
      <c r="B49" s="42">
        <f>$B$44</f>
        <v>0</v>
      </c>
      <c r="C49" s="42">
        <f t="shared" ref="C49:F49" si="1">$B$44</f>
        <v>0</v>
      </c>
      <c r="D49" s="42">
        <f t="shared" si="1"/>
        <v>0</v>
      </c>
      <c r="E49" s="42">
        <f t="shared" si="1"/>
        <v>0</v>
      </c>
      <c r="F49" s="42">
        <f t="shared" si="1"/>
        <v>0</v>
      </c>
    </row>
    <row r="50" spans="1:8" ht="15.75" customHeight="1">
      <c r="A50" s="45" t="s">
        <v>88</v>
      </c>
      <c r="B50" s="42">
        <f>$B$43</f>
        <v>19283</v>
      </c>
      <c r="C50" s="42">
        <f t="shared" ref="C50:F50" si="2">$B$43</f>
        <v>19283</v>
      </c>
      <c r="D50" s="42">
        <f t="shared" si="2"/>
        <v>19283</v>
      </c>
      <c r="E50" s="42">
        <f t="shared" si="2"/>
        <v>19283</v>
      </c>
      <c r="F50" s="42">
        <f t="shared" si="2"/>
        <v>19283</v>
      </c>
    </row>
    <row r="51" spans="1:8" ht="15.75" customHeight="1">
      <c r="A51" s="44" t="s">
        <v>43</v>
      </c>
      <c r="B51" s="28">
        <f>B48+B49-B47-B50</f>
        <v>-619283</v>
      </c>
      <c r="C51" s="28">
        <f>C48+C49-C47</f>
        <v>400000</v>
      </c>
      <c r="D51" s="28">
        <f t="shared" ref="D51:F51" si="3">D48+D49-D47</f>
        <v>400000</v>
      </c>
      <c r="E51" s="28">
        <f t="shared" si="3"/>
        <v>400000</v>
      </c>
      <c r="F51" s="28">
        <f t="shared" si="3"/>
        <v>400000</v>
      </c>
    </row>
    <row r="52" spans="1:8" ht="15.75" customHeight="1">
      <c r="A52" s="44" t="s">
        <v>54</v>
      </c>
      <c r="B52" s="40">
        <f>B51/(B48+B49)</f>
        <v>-1.2385660000000001</v>
      </c>
      <c r="C52" s="40">
        <f>C51/(C48+C49)</f>
        <v>0.8</v>
      </c>
      <c r="D52" s="40">
        <f t="shared" ref="D52:F52" si="4">D51/(D48+D49)</f>
        <v>0.8</v>
      </c>
      <c r="E52" s="40">
        <f t="shared" si="4"/>
        <v>0.8</v>
      </c>
      <c r="F52" s="40">
        <f t="shared" si="4"/>
        <v>0.8</v>
      </c>
    </row>
    <row r="53" spans="1:8" ht="15.75" customHeight="1">
      <c r="A53" s="44" t="s">
        <v>82</v>
      </c>
      <c r="B53" s="28">
        <f>B51</f>
        <v>-619283</v>
      </c>
      <c r="C53" s="39">
        <f>C51+B53</f>
        <v>-219283</v>
      </c>
      <c r="D53" s="39">
        <f>D51+C53</f>
        <v>180717</v>
      </c>
      <c r="E53" s="39">
        <f t="shared" ref="E53:F53" si="5">E51+D53</f>
        <v>580717</v>
      </c>
      <c r="F53" s="39">
        <f t="shared" si="5"/>
        <v>980717</v>
      </c>
    </row>
    <row r="54" spans="1:8" ht="15.75" customHeight="1">
      <c r="B54" s="20"/>
    </row>
    <row r="55" spans="1:8" ht="15.75" customHeight="1">
      <c r="B55" s="20"/>
    </row>
    <row r="56" spans="1:8" ht="15.75" customHeight="1">
      <c r="B56" s="20"/>
    </row>
    <row r="57" spans="1:8" ht="15.75" customHeight="1">
      <c r="B57" s="20"/>
    </row>
    <row r="58" spans="1:8" ht="15.75" customHeight="1">
      <c r="B58" s="20"/>
    </row>
    <row r="59" spans="1:8" ht="15.75" customHeight="1">
      <c r="B59" s="20"/>
    </row>
    <row r="60" spans="1:8" ht="15.75" customHeight="1">
      <c r="B60" s="20"/>
    </row>
    <row r="61" spans="1:8" ht="15.75" customHeight="1">
      <c r="B61" s="20"/>
    </row>
    <row r="62" spans="1:8" ht="15.75" customHeight="1">
      <c r="B62" s="20"/>
    </row>
    <row r="63" spans="1:8" ht="15.75" customHeight="1">
      <c r="B63" s="20"/>
    </row>
    <row r="64" spans="1:8" ht="24.5" customHeight="1" thickBot="1">
      <c r="C64" s="71" t="s">
        <v>105</v>
      </c>
      <c r="D64" s="71"/>
      <c r="G64" s="71" t="s">
        <v>107</v>
      </c>
      <c r="H64" s="71"/>
    </row>
    <row r="65" spans="1:10" ht="15.75" customHeight="1" thickBot="1">
      <c r="C65" s="79" t="s">
        <v>90</v>
      </c>
      <c r="D65" s="80"/>
      <c r="G65" s="79" t="s">
        <v>90</v>
      </c>
      <c r="H65" s="80"/>
    </row>
    <row r="66" spans="1:10" ht="15.75" customHeight="1">
      <c r="C66" s="68" t="s">
        <v>100</v>
      </c>
      <c r="D66" s="69" t="s">
        <v>91</v>
      </c>
      <c r="G66" s="68" t="s">
        <v>100</v>
      </c>
      <c r="H66" s="69" t="s">
        <v>91</v>
      </c>
      <c r="I66" s="38" t="s">
        <v>118</v>
      </c>
      <c r="J66" s="38" t="s">
        <v>116</v>
      </c>
    </row>
    <row r="67" spans="1:10" ht="15.75" customHeight="1">
      <c r="B67" s="38" t="s">
        <v>109</v>
      </c>
      <c r="C67" s="65" t="s">
        <v>92</v>
      </c>
      <c r="D67" s="28">
        <v>2000</v>
      </c>
      <c r="F67" s="29" t="s">
        <v>112</v>
      </c>
      <c r="G67" s="72" t="s">
        <v>114</v>
      </c>
      <c r="H67" s="28">
        <v>1000</v>
      </c>
      <c r="I67" s="29">
        <v>9</v>
      </c>
      <c r="J67" s="39">
        <f>H67/I67*12</f>
        <v>1333.3333333333335</v>
      </c>
    </row>
    <row r="68" spans="1:10" ht="15.75" customHeight="1">
      <c r="B68" s="38" t="s">
        <v>110</v>
      </c>
      <c r="C68" s="66" t="s">
        <v>93</v>
      </c>
      <c r="D68" s="28">
        <v>3500</v>
      </c>
      <c r="F68" s="29" t="s">
        <v>110</v>
      </c>
      <c r="G68" s="65" t="s">
        <v>115</v>
      </c>
      <c r="H68" s="28">
        <v>2500</v>
      </c>
      <c r="I68" s="29">
        <v>24</v>
      </c>
      <c r="J68" s="39">
        <f t="shared" ref="J67:J69" si="6">H68/I68*12</f>
        <v>1250</v>
      </c>
    </row>
    <row r="69" spans="1:10" ht="15.75" customHeight="1">
      <c r="B69" s="38" t="s">
        <v>111</v>
      </c>
      <c r="C69" s="67" t="s">
        <v>94</v>
      </c>
      <c r="D69" s="28">
        <v>4000</v>
      </c>
      <c r="F69" s="29" t="s">
        <v>113</v>
      </c>
      <c r="G69" s="66" t="s">
        <v>93</v>
      </c>
      <c r="H69" s="28">
        <v>3000</v>
      </c>
      <c r="I69" s="29">
        <v>39</v>
      </c>
      <c r="J69" s="39">
        <f t="shared" si="6"/>
        <v>923.07692307692309</v>
      </c>
    </row>
    <row r="70" spans="1:10" ht="15.75" customHeight="1">
      <c r="C70" s="64" t="s">
        <v>101</v>
      </c>
      <c r="D70" s="20">
        <v>150</v>
      </c>
      <c r="F70" s="89" t="s">
        <v>123</v>
      </c>
      <c r="G70" s="67" t="s">
        <v>94</v>
      </c>
      <c r="H70" s="28">
        <v>4000</v>
      </c>
      <c r="I70" s="29">
        <v>80</v>
      </c>
      <c r="J70" s="39">
        <f>H70/I70*12</f>
        <v>600</v>
      </c>
    </row>
    <row r="71" spans="1:10" ht="15.75" customHeight="1">
      <c r="A71" s="63"/>
      <c r="B71" s="20"/>
      <c r="F71" s="53" t="s">
        <v>117</v>
      </c>
      <c r="G71" s="73"/>
      <c r="H71" s="74">
        <v>150</v>
      </c>
    </row>
    <row r="72" spans="1:10" ht="15.75" customHeight="1">
      <c r="A72" s="63"/>
      <c r="B72" s="20"/>
    </row>
    <row r="73" spans="1:10" ht="15.75" customHeight="1">
      <c r="A73" s="63"/>
      <c r="B73" s="20"/>
    </row>
    <row r="74" spans="1:10" ht="15.75" customHeight="1">
      <c r="B74" s="20"/>
    </row>
    <row r="75" spans="1:10" ht="15.75" customHeight="1">
      <c r="B75" s="20"/>
    </row>
    <row r="77" spans="1:10" ht="25" customHeight="1">
      <c r="A77" s="83" t="s">
        <v>106</v>
      </c>
      <c r="B77" s="83"/>
    </row>
    <row r="78" spans="1:10" ht="15.75" customHeight="1">
      <c r="A78" s="23" t="s">
        <v>52</v>
      </c>
    </row>
    <row r="79" spans="1:10" ht="15.75" customHeight="1">
      <c r="A79">
        <v>1</v>
      </c>
      <c r="B79" s="25">
        <f>A79*$B$6</f>
        <v>20000</v>
      </c>
      <c r="C79">
        <v>1</v>
      </c>
      <c r="D79" s="25">
        <f>B12+B13</f>
        <v>112000</v>
      </c>
    </row>
    <row r="80" spans="1:10" ht="15.75" customHeight="1">
      <c r="A80">
        <v>2</v>
      </c>
      <c r="B80" s="25">
        <f t="shared" ref="B80:B90" si="7">A80*$B$6</f>
        <v>40000</v>
      </c>
      <c r="C80">
        <v>2</v>
      </c>
      <c r="D80" s="25">
        <f t="shared" ref="D80:D91" si="8">C80*$B$13+$B$12</f>
        <v>124000</v>
      </c>
    </row>
    <row r="81" spans="1:4" ht="15.75" customHeight="1">
      <c r="A81">
        <v>3</v>
      </c>
      <c r="B81" s="25">
        <f t="shared" si="7"/>
        <v>60000</v>
      </c>
      <c r="C81">
        <v>3</v>
      </c>
      <c r="D81" s="25">
        <f t="shared" si="8"/>
        <v>136000</v>
      </c>
    </row>
    <row r="82" spans="1:4" ht="15.75" customHeight="1">
      <c r="A82">
        <v>4</v>
      </c>
      <c r="B82" s="25">
        <f t="shared" si="7"/>
        <v>80000</v>
      </c>
      <c r="C82">
        <v>4</v>
      </c>
      <c r="D82" s="25">
        <f t="shared" si="8"/>
        <v>148000</v>
      </c>
    </row>
    <row r="83" spans="1:4" ht="15.75" customHeight="1">
      <c r="A83">
        <v>5</v>
      </c>
      <c r="B83" s="25">
        <f t="shared" si="7"/>
        <v>100000</v>
      </c>
      <c r="C83">
        <v>5</v>
      </c>
      <c r="D83" s="25">
        <f t="shared" si="8"/>
        <v>160000</v>
      </c>
    </row>
    <row r="84" spans="1:4" ht="15.75" customHeight="1">
      <c r="A84">
        <v>6</v>
      </c>
      <c r="B84" s="25">
        <f t="shared" si="7"/>
        <v>120000</v>
      </c>
      <c r="C84">
        <v>6</v>
      </c>
      <c r="D84" s="25">
        <f t="shared" si="8"/>
        <v>172000</v>
      </c>
    </row>
    <row r="85" spans="1:4" ht="15.75" customHeight="1">
      <c r="A85">
        <v>7</v>
      </c>
      <c r="B85" s="25">
        <f t="shared" si="7"/>
        <v>140000</v>
      </c>
      <c r="C85">
        <v>7</v>
      </c>
      <c r="D85" s="25">
        <f t="shared" si="8"/>
        <v>184000</v>
      </c>
    </row>
    <row r="86" spans="1:4" ht="15.75" customHeight="1">
      <c r="A86">
        <v>8</v>
      </c>
      <c r="B86" s="25">
        <f t="shared" si="7"/>
        <v>160000</v>
      </c>
      <c r="C86">
        <v>8</v>
      </c>
      <c r="D86" s="25">
        <f t="shared" si="8"/>
        <v>196000</v>
      </c>
    </row>
    <row r="87" spans="1:4" ht="15.75" customHeight="1">
      <c r="A87">
        <v>9</v>
      </c>
      <c r="B87" s="25">
        <f t="shared" si="7"/>
        <v>180000</v>
      </c>
      <c r="C87">
        <v>9</v>
      </c>
      <c r="D87" s="25">
        <f t="shared" si="8"/>
        <v>208000</v>
      </c>
    </row>
    <row r="88" spans="1:4" ht="15.75" customHeight="1">
      <c r="A88">
        <v>10</v>
      </c>
      <c r="B88" s="25">
        <f t="shared" si="7"/>
        <v>200000</v>
      </c>
      <c r="C88">
        <v>10</v>
      </c>
      <c r="D88" s="25">
        <f>C88*$B$13+$B$12</f>
        <v>220000</v>
      </c>
    </row>
    <row r="89" spans="1:4" ht="15.75" customHeight="1">
      <c r="A89">
        <v>11</v>
      </c>
      <c r="B89" s="25">
        <f t="shared" si="7"/>
        <v>220000</v>
      </c>
      <c r="C89">
        <v>11</v>
      </c>
      <c r="D89" s="25">
        <f t="shared" si="8"/>
        <v>232000</v>
      </c>
    </row>
    <row r="90" spans="1:4" ht="15.75" customHeight="1">
      <c r="A90">
        <v>12</v>
      </c>
      <c r="B90" s="25">
        <f t="shared" si="7"/>
        <v>240000</v>
      </c>
      <c r="C90">
        <v>12</v>
      </c>
      <c r="D90" s="25">
        <f t="shared" si="8"/>
        <v>244000</v>
      </c>
    </row>
    <row r="91" spans="1:4" ht="15.75" customHeight="1">
      <c r="A91">
        <v>13</v>
      </c>
      <c r="B91" s="25">
        <f>A91*$B$6</f>
        <v>260000</v>
      </c>
      <c r="C91">
        <v>13</v>
      </c>
      <c r="D91" s="25">
        <f t="shared" si="8"/>
        <v>256000</v>
      </c>
    </row>
    <row r="94" spans="1:4" ht="15.75" customHeight="1">
      <c r="A94" s="23" t="s">
        <v>73</v>
      </c>
      <c r="B94" s="25">
        <f>'Competitors Pricing Models'!C17</f>
        <v>33190</v>
      </c>
    </row>
    <row r="95" spans="1:4" ht="15.75" customHeight="1">
      <c r="A95" t="s">
        <v>77</v>
      </c>
      <c r="B95">
        <f>52*2</f>
        <v>104</v>
      </c>
    </row>
    <row r="96" spans="1:4" ht="15.75" customHeight="1">
      <c r="B96" s="25">
        <f>B94*B95</f>
        <v>3451760</v>
      </c>
    </row>
  </sheetData>
  <dataConsolidate/>
  <mergeCells count="10">
    <mergeCell ref="G65:H65"/>
    <mergeCell ref="C65:D65"/>
    <mergeCell ref="A4:B4"/>
    <mergeCell ref="A41:B41"/>
    <mergeCell ref="A77:B77"/>
    <mergeCell ref="A5:B5"/>
    <mergeCell ref="A11:B11"/>
    <mergeCell ref="A27:B27"/>
    <mergeCell ref="A45:F45"/>
    <mergeCell ref="A26:B26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C381E-B1B2-42F5-85C1-163FCC410240}">
  <dimension ref="A3:E4"/>
  <sheetViews>
    <sheetView workbookViewId="0">
      <selection activeCell="I29" sqref="I29"/>
    </sheetView>
  </sheetViews>
  <sheetFormatPr defaultRowHeight="12.5"/>
  <cols>
    <col min="1" max="1" width="18.6328125" bestFit="1" customWidth="1"/>
  </cols>
  <sheetData>
    <row r="3" spans="1:5">
      <c r="A3" s="29" t="s">
        <v>95</v>
      </c>
      <c r="B3" s="29" t="s">
        <v>96</v>
      </c>
      <c r="C3" s="29" t="s">
        <v>97</v>
      </c>
      <c r="D3" s="29" t="s">
        <v>98</v>
      </c>
      <c r="E3" s="38" t="s">
        <v>108</v>
      </c>
    </row>
    <row r="4" spans="1:5">
      <c r="A4" s="29" t="s">
        <v>99</v>
      </c>
      <c r="B4" s="29">
        <v>100</v>
      </c>
      <c r="C4" s="29">
        <v>70</v>
      </c>
      <c r="D4" s="29">
        <v>40</v>
      </c>
      <c r="E4" s="29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59FCA7-2134-4829-9EB1-86E6BDCCBD44}">
  <dimension ref="A2:I39"/>
  <sheetViews>
    <sheetView tabSelected="1" workbookViewId="0">
      <selection activeCell="B6" sqref="B6"/>
    </sheetView>
  </sheetViews>
  <sheetFormatPr defaultRowHeight="12.5"/>
  <cols>
    <col min="1" max="1" width="23.7265625" bestFit="1" customWidth="1"/>
    <col min="2" max="4" width="15.453125" bestFit="1" customWidth="1"/>
    <col min="9" max="9" width="16.7265625" bestFit="1" customWidth="1"/>
  </cols>
  <sheetData>
    <row r="2" spans="1:9" ht="13">
      <c r="A2" s="22" t="s">
        <v>81</v>
      </c>
    </row>
    <row r="5" spans="1:9">
      <c r="B5" s="23" t="s">
        <v>69</v>
      </c>
      <c r="C5" t="s">
        <v>74</v>
      </c>
      <c r="D5" t="s">
        <v>75</v>
      </c>
      <c r="E5" t="s">
        <v>76</v>
      </c>
    </row>
    <row r="6" spans="1:9">
      <c r="A6" s="23" t="s">
        <v>119</v>
      </c>
      <c r="B6">
        <v>3</v>
      </c>
      <c r="C6">
        <v>5</v>
      </c>
      <c r="D6">
        <v>7</v>
      </c>
    </row>
    <row r="7" spans="1:9">
      <c r="A7" s="23" t="s">
        <v>120</v>
      </c>
    </row>
    <row r="8" spans="1:9">
      <c r="A8" s="5" t="s">
        <v>121</v>
      </c>
      <c r="B8" s="20">
        <f>'Our Pricing Models'!B29</f>
        <v>1500000</v>
      </c>
      <c r="C8" s="20">
        <v>1500000</v>
      </c>
      <c r="D8" s="20">
        <v>1500000</v>
      </c>
    </row>
    <row r="9" spans="1:9">
      <c r="A9" s="5" t="s">
        <v>122</v>
      </c>
      <c r="B9" s="20"/>
      <c r="C9" s="20"/>
      <c r="D9" s="20"/>
    </row>
    <row r="10" spans="1:9">
      <c r="A10" s="5"/>
      <c r="B10" s="20"/>
      <c r="C10" s="20"/>
      <c r="D10" s="20"/>
    </row>
    <row r="11" spans="1:9">
      <c r="A11" s="5" t="s">
        <v>71</v>
      </c>
      <c r="B11" s="20">
        <f>B6*(1000000+(100000))</f>
        <v>3300000</v>
      </c>
      <c r="C11" s="20">
        <f>C6*(1000000+(100000))+B6*('Our Costs'!$B$4+'Our Costs'!$B$5)</f>
        <v>5800000</v>
      </c>
      <c r="D11" s="20">
        <f>D6*(1000000+(100000))+C6*('Our Costs'!$B$4+'Our Costs'!$B$5)</f>
        <v>8200000</v>
      </c>
    </row>
    <row r="12" spans="1:9">
      <c r="B12" s="20"/>
      <c r="I12" s="20"/>
    </row>
    <row r="13" spans="1:9">
      <c r="I13" s="20"/>
    </row>
    <row r="14" spans="1:9">
      <c r="A14" s="5"/>
      <c r="I14" s="20"/>
    </row>
    <row r="15" spans="1:9">
      <c r="A15" s="5"/>
      <c r="I15" s="20"/>
    </row>
    <row r="16" spans="1:9">
      <c r="I16" s="20"/>
    </row>
    <row r="17" spans="9:9">
      <c r="I17" s="20"/>
    </row>
    <row r="36" spans="1:1">
      <c r="A36" t="s">
        <v>70</v>
      </c>
    </row>
    <row r="37" spans="1:1">
      <c r="A37" s="20">
        <v>1000000</v>
      </c>
    </row>
    <row r="38" spans="1:1">
      <c r="A38" s="20">
        <v>50000</v>
      </c>
    </row>
    <row r="39" spans="1:1">
      <c r="A39" s="20">
        <v>50000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1"/>
  <sheetViews>
    <sheetView workbookViewId="0">
      <selection activeCell="C23" sqref="C23"/>
    </sheetView>
  </sheetViews>
  <sheetFormatPr defaultColWidth="14.453125" defaultRowHeight="15.75" customHeight="1"/>
  <cols>
    <col min="1" max="1" width="81.6328125" customWidth="1"/>
    <col min="2" max="2" width="23.7265625" customWidth="1"/>
    <col min="3" max="3" width="20.26953125" customWidth="1"/>
    <col min="4" max="4" width="34.453125" customWidth="1"/>
  </cols>
  <sheetData>
    <row r="1" spans="1:4" ht="13">
      <c r="A1" s="10" t="s">
        <v>3</v>
      </c>
      <c r="B1" s="1"/>
      <c r="C1" s="1"/>
      <c r="D1" s="1"/>
    </row>
    <row r="2" spans="1:4" ht="13">
      <c r="A2" s="11" t="s">
        <v>4</v>
      </c>
      <c r="C2" s="2"/>
    </row>
    <row r="3" spans="1:4" ht="14">
      <c r="A3" s="12" t="s">
        <v>5</v>
      </c>
      <c r="B3" s="13" t="s">
        <v>6</v>
      </c>
      <c r="C3" s="2" t="s">
        <v>7</v>
      </c>
      <c r="D3" s="3" t="s">
        <v>19</v>
      </c>
    </row>
    <row r="4" spans="1:4" ht="12.5">
      <c r="A4" s="2"/>
    </row>
    <row r="5" spans="1:4" ht="12.5">
      <c r="A5" s="14" t="s">
        <v>8</v>
      </c>
      <c r="B5" s="61">
        <f>C5/6*52</f>
        <v>19283.333333333332</v>
      </c>
      <c r="C5" s="33">
        <v>2225</v>
      </c>
      <c r="D5" s="20">
        <f>C5</f>
        <v>2225</v>
      </c>
    </row>
    <row r="6" spans="1:4" ht="12.5">
      <c r="A6" s="14" t="s">
        <v>9</v>
      </c>
      <c r="C6" s="33" t="s">
        <v>10</v>
      </c>
      <c r="D6" s="20" t="str">
        <f>C6</f>
        <v>1.800,00</v>
      </c>
    </row>
    <row r="7" spans="1:4" ht="12.5">
      <c r="A7" s="14" t="s">
        <v>11</v>
      </c>
      <c r="B7" s="15">
        <v>10</v>
      </c>
      <c r="C7" s="34">
        <v>390</v>
      </c>
      <c r="D7" s="35">
        <f>C7*B7</f>
        <v>3900</v>
      </c>
    </row>
    <row r="8" spans="1:4" ht="12.5">
      <c r="A8" s="16" t="s">
        <v>12</v>
      </c>
      <c r="B8" s="15">
        <v>14</v>
      </c>
      <c r="C8" s="34">
        <v>200</v>
      </c>
      <c r="D8" s="35">
        <f t="shared" ref="D8:D16" si="0">C8*B8</f>
        <v>2800</v>
      </c>
    </row>
    <row r="9" spans="1:4" ht="12.5">
      <c r="A9" s="16" t="s">
        <v>13</v>
      </c>
      <c r="B9" s="15">
        <v>166</v>
      </c>
      <c r="C9" s="34">
        <v>280</v>
      </c>
      <c r="D9" s="35">
        <f t="shared" si="0"/>
        <v>46480</v>
      </c>
    </row>
    <row r="10" spans="1:4" ht="12.5">
      <c r="A10" s="16" t="s">
        <v>14</v>
      </c>
      <c r="B10" s="15">
        <v>241</v>
      </c>
      <c r="C10" s="34">
        <v>575</v>
      </c>
      <c r="D10" s="35">
        <f t="shared" si="0"/>
        <v>138575</v>
      </c>
    </row>
    <row r="11" spans="1:4" ht="12.5">
      <c r="A11" s="17"/>
      <c r="B11" s="62">
        <f>C5/6</f>
        <v>370.83333333333331</v>
      </c>
      <c r="C11" s="36"/>
      <c r="D11" s="35"/>
    </row>
    <row r="12" spans="1:4" ht="13">
      <c r="A12" s="16" t="s">
        <v>15</v>
      </c>
      <c r="B12" s="18"/>
      <c r="C12" s="36"/>
      <c r="D12" s="35"/>
    </row>
    <row r="13" spans="1:4" ht="12.5">
      <c r="A13" s="16" t="s">
        <v>16</v>
      </c>
      <c r="B13" s="15">
        <v>6</v>
      </c>
      <c r="C13" s="34">
        <v>575</v>
      </c>
      <c r="D13" s="35">
        <f t="shared" si="0"/>
        <v>3450</v>
      </c>
    </row>
    <row r="14" spans="1:4" ht="12.5">
      <c r="A14" s="16" t="s">
        <v>17</v>
      </c>
      <c r="B14" s="15">
        <v>4</v>
      </c>
      <c r="C14" s="34">
        <v>280</v>
      </c>
      <c r="D14" s="35">
        <f t="shared" si="0"/>
        <v>1120</v>
      </c>
    </row>
    <row r="15" spans="1:4" ht="12.5">
      <c r="A15" s="16" t="s">
        <v>18</v>
      </c>
      <c r="B15" s="15">
        <v>1</v>
      </c>
      <c r="C15" s="34">
        <v>200</v>
      </c>
      <c r="D15" s="35">
        <f t="shared" si="0"/>
        <v>200</v>
      </c>
    </row>
    <row r="16" spans="1:4" ht="12.5">
      <c r="B16" s="19">
        <v>1</v>
      </c>
      <c r="C16" s="37">
        <v>390</v>
      </c>
      <c r="D16" s="35">
        <f t="shared" si="0"/>
        <v>390</v>
      </c>
    </row>
    <row r="17" spans="1:4" ht="12.5">
      <c r="B17" t="s">
        <v>44</v>
      </c>
      <c r="C17" s="25">
        <f>C19*0.8</f>
        <v>33190</v>
      </c>
      <c r="D17" s="34">
        <f>SUM(D5:D16)</f>
        <v>199140</v>
      </c>
    </row>
    <row r="18" spans="1:4" ht="12.5">
      <c r="A18" s="17"/>
      <c r="D18" s="37"/>
    </row>
    <row r="19" spans="1:4" ht="14">
      <c r="A19" s="5"/>
      <c r="B19" t="s">
        <v>45</v>
      </c>
      <c r="C19" s="25">
        <f>D19/6</f>
        <v>41487.5</v>
      </c>
      <c r="D19" s="21">
        <f>D17*1.25</f>
        <v>248925</v>
      </c>
    </row>
    <row r="20" spans="1:4" ht="14">
      <c r="A20" s="5"/>
      <c r="B20" s="2"/>
      <c r="C20" s="2"/>
      <c r="D20" s="7"/>
    </row>
    <row r="21" spans="1:4" ht="12.5">
      <c r="A21" s="5"/>
    </row>
    <row r="22" spans="1:4" ht="14">
      <c r="A22" s="5"/>
      <c r="B22" s="2"/>
      <c r="C22" s="2"/>
      <c r="D22" s="8"/>
    </row>
    <row r="28" spans="1:4" ht="15.75" customHeight="1">
      <c r="A28" s="23" t="s">
        <v>73</v>
      </c>
      <c r="B28" s="25">
        <f>C17</f>
        <v>33190</v>
      </c>
    </row>
    <row r="29" spans="1:4" ht="15.75" customHeight="1">
      <c r="A29" t="s">
        <v>77</v>
      </c>
      <c r="B29">
        <v>52</v>
      </c>
    </row>
    <row r="30" spans="1:4" ht="15.75" customHeight="1">
      <c r="A30" t="s">
        <v>78</v>
      </c>
      <c r="B30" s="25">
        <f>B28*B29</f>
        <v>1725880</v>
      </c>
    </row>
    <row r="31" spans="1:4" ht="15.75" customHeight="1">
      <c r="A31" t="s">
        <v>79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2AB40-F11A-42DB-AC43-DF02DEAC6B7A}">
  <dimension ref="A3:C22"/>
  <sheetViews>
    <sheetView workbookViewId="0">
      <selection activeCell="O19" sqref="O19"/>
    </sheetView>
  </sheetViews>
  <sheetFormatPr defaultRowHeight="12.5"/>
  <sheetData>
    <row r="3" spans="1:3" ht="13">
      <c r="A3" s="22" t="s">
        <v>26</v>
      </c>
    </row>
    <row r="4" spans="1:3">
      <c r="A4" s="23" t="s">
        <v>27</v>
      </c>
      <c r="B4" s="23">
        <v>60</v>
      </c>
      <c r="C4" s="23" t="s">
        <v>30</v>
      </c>
    </row>
    <row r="5" spans="1:3">
      <c r="A5" s="23" t="s">
        <v>28</v>
      </c>
      <c r="B5">
        <v>60</v>
      </c>
      <c r="C5" s="23" t="s">
        <v>30</v>
      </c>
    </row>
    <row r="6" spans="1:3">
      <c r="A6" s="23" t="s">
        <v>29</v>
      </c>
      <c r="B6">
        <v>14</v>
      </c>
      <c r="C6" s="23" t="s">
        <v>31</v>
      </c>
    </row>
    <row r="9" spans="1:3" ht="13">
      <c r="A9" s="22" t="s">
        <v>32</v>
      </c>
    </row>
    <row r="10" spans="1:3">
      <c r="A10" s="23" t="s">
        <v>33</v>
      </c>
      <c r="B10">
        <v>30</v>
      </c>
      <c r="C10" s="23" t="s">
        <v>30</v>
      </c>
    </row>
    <row r="11" spans="1:3">
      <c r="A11" s="23" t="s">
        <v>34</v>
      </c>
      <c r="B11" s="23" t="s">
        <v>35</v>
      </c>
    </row>
    <row r="12" spans="1:3">
      <c r="A12" s="23" t="s">
        <v>32</v>
      </c>
      <c r="B12">
        <v>60</v>
      </c>
      <c r="C12" s="23" t="s">
        <v>30</v>
      </c>
    </row>
    <row r="15" spans="1:3" ht="13">
      <c r="A15" s="22" t="s">
        <v>36</v>
      </c>
    </row>
    <row r="16" spans="1:3">
      <c r="A16" s="23" t="s">
        <v>33</v>
      </c>
      <c r="B16">
        <v>30</v>
      </c>
      <c r="C16" s="23" t="s">
        <v>30</v>
      </c>
    </row>
    <row r="17" spans="1:3">
      <c r="A17" s="23" t="s">
        <v>37</v>
      </c>
      <c r="B17">
        <v>2</v>
      </c>
      <c r="C17" s="23" t="s">
        <v>38</v>
      </c>
    </row>
    <row r="18" spans="1:3">
      <c r="A18" s="23" t="s">
        <v>28</v>
      </c>
      <c r="B18">
        <v>2</v>
      </c>
      <c r="C18" s="23" t="s">
        <v>38</v>
      </c>
    </row>
    <row r="21" spans="1:3" ht="15.75" customHeight="1">
      <c r="A21" t="s">
        <v>25</v>
      </c>
    </row>
    <row r="22" spans="1:3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6</vt:i4>
      </vt:variant>
    </vt:vector>
  </HeadingPairs>
  <TitlesOfParts>
    <vt:vector size="6" baseType="lpstr">
      <vt:lpstr>Our Costs</vt:lpstr>
      <vt:lpstr>Our Pricing Models</vt:lpstr>
      <vt:lpstr>Customers</vt:lpstr>
      <vt:lpstr>Budget </vt:lpstr>
      <vt:lpstr>Competitors Pricing Models</vt:lpstr>
      <vt:lpstr>Time pr. 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Mathias Hald</dc:creator>
  <cp:lastModifiedBy>Mathias Hald</cp:lastModifiedBy>
  <dcterms:created xsi:type="dcterms:W3CDTF">2018-03-06T10:03:30Z</dcterms:created>
  <dcterms:modified xsi:type="dcterms:W3CDTF">2018-04-02T20:04:10Z</dcterms:modified>
</cp:coreProperties>
</file>