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980" windowHeight="9810" activeTab="7"/>
  </bookViews>
  <sheets>
    <sheet name="tax" sheetId="3" r:id="rId1"/>
    <sheet name="debt" sheetId="4" r:id="rId2"/>
    <sheet name="metric" sheetId="5" r:id="rId3"/>
    <sheet name="save boder" sheetId="8" r:id="rId4"/>
    <sheet name="cashflow" sheetId="7" r:id="rId5"/>
    <sheet name="plan" sheetId="9" r:id="rId6"/>
    <sheet name="warrant" sheetId="10" r:id="rId7"/>
    <sheet name="Sheet1" sheetId="11" r:id="rId8"/>
  </sheets>
  <calcPr calcId="144525"/>
</workbook>
</file>

<file path=xl/sharedStrings.xml><?xml version="1.0" encoding="utf-8"?>
<sst xmlns="http://schemas.openxmlformats.org/spreadsheetml/2006/main" count="217" uniqueCount="193">
  <si>
    <t>文档密级：内部公开A</t>
  </si>
  <si>
    <t>类型</t>
  </si>
  <si>
    <t>工资计薪周期</t>
  </si>
  <si>
    <t>所属税务周期</t>
  </si>
  <si>
    <t>应发小计</t>
  </si>
  <si>
    <t>社保个人扣款小计</t>
  </si>
  <si>
    <t>公积金个人扣款小计</t>
  </si>
  <si>
    <t>个税专项扣除小计</t>
  </si>
  <si>
    <t>个人得税（月底）</t>
  </si>
  <si>
    <t>应发考核工资</t>
  </si>
  <si>
    <t>个人所得税（考核）</t>
  </si>
  <si>
    <t>本月已扣个税合计</t>
  </si>
  <si>
    <t>公司是否变动</t>
  </si>
  <si>
    <t>累计月份数</t>
  </si>
  <si>
    <t>本年
应税工资累计</t>
  </si>
  <si>
    <t>本年
个税累计</t>
  </si>
  <si>
    <t>本月应缴</t>
  </si>
  <si>
    <t>验证个税扣款正确性</t>
  </si>
  <si>
    <t>说明</t>
  </si>
  <si>
    <t>已发</t>
  </si>
  <si>
    <t>否</t>
  </si>
  <si>
    <t>由于PS系统问题，未累计计税，造成少扣</t>
  </si>
  <si>
    <t>补扣2月份少扣的金额</t>
  </si>
  <si>
    <t>未发</t>
  </si>
  <si>
    <t>Debt total</t>
  </si>
  <si>
    <t>Y rate</t>
  </si>
  <si>
    <t>M rate</t>
  </si>
  <si>
    <t>tm</t>
  </si>
  <si>
    <t>InCome</t>
  </si>
  <si>
    <t>year</t>
  </si>
  <si>
    <t>fee</t>
  </si>
  <si>
    <t>total</t>
  </si>
  <si>
    <t>plianA</t>
  </si>
  <si>
    <t>out</t>
  </si>
  <si>
    <t>plan B</t>
  </si>
  <si>
    <t>in</t>
  </si>
  <si>
    <t>abs</t>
  </si>
  <si>
    <t>month</t>
  </si>
  <si>
    <t>abc</t>
  </si>
  <si>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</si>
  <si>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</si>
  <si>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</si>
  <si>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</si>
  <si>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</si>
  <si>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</si>
  <si>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</si>
  <si>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</si>
  <si>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</si>
  <si>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</si>
  <si>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</si>
  <si>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</si>
  <si>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</si>
  <si>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</si>
  <si>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</si>
  <si>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</si>
  <si>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</si>
  <si>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</si>
  <si>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</si>
  <si>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</si>
  <si>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</si>
  <si>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</si>
  <si>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</si>
  <si>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</si>
  <si>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</si>
  <si>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</si>
  <si>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</si>
  <si>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</si>
  <si>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</si>
  <si>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</si>
  <si>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</si>
  <si>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</si>
  <si>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</si>
  <si>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</si>
  <si>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</si>
  <si>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</si>
  <si>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</si>
  <si>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</si>
  <si>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</si>
  <si>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</si>
  <si>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</si>
  <si>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</si>
  <si>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</si>
  <si>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</si>
  <si>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</si>
  <si>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</si>
  <si>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</si>
  <si>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</si>
  <si>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</si>
  <si>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</si>
  <si>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</si>
  <si>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</si>
  <si>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</si>
  <si>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</si>
  <si>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</si>
  <si>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</si>
  <si>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</si>
  <si>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</si>
  <si>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</si>
  <si>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</si>
  <si>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</si>
  <si>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</si>
  <si>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</si>
  <si>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</si>
  <si>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</si>
  <si>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</si>
  <si>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</si>
  <si>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liutong</t>
  </si>
  <si>
    <t>lingtongval</t>
  </si>
  <si>
    <t>zongguben</t>
  </si>
  <si>
    <t>zongshizhi</t>
  </si>
  <si>
    <t>shiying_d</t>
  </si>
  <si>
    <t>shiying_j</t>
  </si>
  <si>
    <t>shijingli</t>
  </si>
  <si>
    <t>zhiyabi</t>
  </si>
  <si>
    <t>shangyu</t>
  </si>
  <si>
    <t>预期增长</t>
  </si>
  <si>
    <t>预期通胀</t>
  </si>
  <si>
    <t>delta</t>
  </si>
  <si>
    <t>第几年</t>
  </si>
  <si>
    <t>现金流</t>
  </si>
  <si>
    <t>N年 sum</t>
  </si>
  <si>
    <t>损益表</t>
  </si>
  <si>
    <t>审计表</t>
  </si>
  <si>
    <t>收入</t>
  </si>
  <si>
    <t>工资</t>
  </si>
  <si>
    <t>利息</t>
  </si>
  <si>
    <t>红利</t>
  </si>
  <si>
    <t>本栋收入</t>
  </si>
  <si>
    <t>房地产</t>
  </si>
  <si>
    <t>公司</t>
  </si>
  <si>
    <t>总收入</t>
  </si>
  <si>
    <t>支出</t>
  </si>
  <si>
    <t>税</t>
  </si>
  <si>
    <t>按揭</t>
  </si>
  <si>
    <t>孩子的数量</t>
  </si>
  <si>
    <t>助学贷款</t>
  </si>
  <si>
    <t>车贷</t>
  </si>
  <si>
    <t>抚育费</t>
  </si>
  <si>
    <t>信用卡</t>
  </si>
  <si>
    <t>零售付款</t>
  </si>
  <si>
    <t>其他支出</t>
  </si>
  <si>
    <t>总支出</t>
  </si>
  <si>
    <t>银行贷款</t>
  </si>
  <si>
    <t>资产负债表</t>
  </si>
  <si>
    <t>资产</t>
  </si>
  <si>
    <t>负债</t>
  </si>
  <si>
    <t>储蓄</t>
  </si>
  <si>
    <t>住房抵押贷款</t>
  </si>
  <si>
    <t>股票/基金/存单</t>
  </si>
  <si>
    <t>数量：</t>
  </si>
  <si>
    <t>成本</t>
  </si>
  <si>
    <t>车贷分期</t>
  </si>
  <si>
    <t>首付</t>
  </si>
  <si>
    <t>零售债务</t>
  </si>
  <si>
    <t>房地产抵押贷款</t>
  </si>
  <si>
    <t>首期</t>
  </si>
  <si>
    <t>负债（公司）</t>
  </si>
  <si>
    <t>std</t>
  </si>
  <si>
    <t>std_flow</t>
  </si>
  <si>
    <t>debt</t>
  </si>
  <si>
    <t>000000</t>
  </si>
  <si>
    <t>cost</t>
  </si>
  <si>
    <t>mortgage</t>
  </si>
  <si>
    <t>1st</t>
  </si>
  <si>
    <t>r</t>
  </si>
  <si>
    <t>cash flow</t>
  </si>
  <si>
    <t>N</t>
  </si>
  <si>
    <t>K</t>
  </si>
  <si>
    <t>P</t>
  </si>
  <si>
    <t>ema(y)</t>
  </si>
  <si>
    <t>ema</t>
  </si>
  <si>
    <t>ema(ev)</t>
  </si>
  <si>
    <t>开发商</t>
  </si>
  <si>
    <t>银行</t>
  </si>
  <si>
    <t>业主</t>
  </si>
  <si>
    <t>合同</t>
  </si>
  <si>
    <t>抵押</t>
  </si>
  <si>
    <t>身份证</t>
  </si>
  <si>
    <t>发票</t>
  </si>
  <si>
    <t>银行申请表</t>
  </si>
  <si>
    <t>结婚证</t>
  </si>
  <si>
    <t>维修</t>
  </si>
  <si>
    <t>委托书</t>
  </si>
  <si>
    <t>户口本</t>
  </si>
  <si>
    <t>权属证</t>
  </si>
  <si>
    <t>同时到</t>
  </si>
  <si>
    <t>图纸</t>
  </si>
  <si>
    <t>开发商申请表</t>
  </si>
  <si>
    <t>y_rate</t>
  </si>
  <si>
    <t>m_rate</t>
  </si>
  <si>
    <t>assert</t>
  </si>
  <si>
    <t>term_y</t>
  </si>
  <si>
    <t>term_m</t>
  </si>
</sst>
</file>

<file path=xl/styles.xml><?xml version="1.0" encoding="utf-8"?>
<styleSheet xmlns="http://schemas.openxmlformats.org/spreadsheetml/2006/main">
  <numFmts count="6">
    <numFmt numFmtId="43" formatCode="_ * #,##0.00_ ;_ * \-#,##0.00_ ;_ * &quot;-&quot;??_ ;_ @_ "/>
    <numFmt numFmtId="176" formatCode="0.00_ "/>
    <numFmt numFmtId="177" formatCode="0.0000%"/>
    <numFmt numFmtId="178" formatCode="_(&quot;$&quot;* #,##0.00_);_(&quot;$&quot;* \(#,##0.00\);_(&quot;$&quot;* &quot;-&quot;??_);_(@_)"/>
    <numFmt numFmtId="179" formatCode="_(&quot;$&quot;* #,##0_);_(&quot;$&quot;* \(#,##0\);_(&quot;$&quot;* &quot;-&quot;_);_(@_)"/>
    <numFmt numFmtId="41" formatCode="_ * #,##0_ ;_ * \-#,##0_ ;_ * &quot;-&quot;_ ;_ @_ "/>
  </numFmts>
  <fonts count="24">
    <font>
      <sz val="10"/>
      <color theme="1"/>
      <name val="微软雅黑"/>
      <charset val="134"/>
    </font>
    <font>
      <b/>
      <sz val="10"/>
      <color theme="1"/>
      <name val="微软雅黑"/>
      <charset val="134"/>
    </font>
    <font>
      <sz val="11"/>
      <color theme="1"/>
      <name val="宋体"/>
      <charset val="134"/>
      <scheme val="minor"/>
    </font>
    <font>
      <b/>
      <sz val="10"/>
      <color indexed="0"/>
      <name val="微软雅黑"/>
      <charset val="134"/>
    </font>
    <font>
      <b/>
      <sz val="11"/>
      <color theme="0"/>
      <name val="Arial Unicode MS"/>
      <charset val="134"/>
    </font>
    <font>
      <i/>
      <sz val="11"/>
      <color rgb="FF7F7F7F"/>
      <name val="宋体"/>
      <charset val="0"/>
      <scheme val="minor"/>
    </font>
    <font>
      <u/>
      <sz val="11"/>
      <color rgb="FF800080"/>
      <name val="宋体"/>
      <charset val="0"/>
      <scheme val="minor"/>
    </font>
    <font>
      <sz val="11"/>
      <color rgb="FF3F3F76"/>
      <name val="宋体"/>
      <charset val="0"/>
      <scheme val="minor"/>
    </font>
    <font>
      <b/>
      <sz val="11"/>
      <color theme="3"/>
      <name val="宋体"/>
      <charset val="134"/>
      <scheme val="minor"/>
    </font>
    <font>
      <sz val="11"/>
      <color rgb="FFFF0000"/>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sz val="11"/>
      <color theme="1"/>
      <name val="宋体"/>
      <charset val="0"/>
      <scheme val="minor"/>
    </font>
    <font>
      <u/>
      <sz val="11"/>
      <color rgb="FF0000FF"/>
      <name val="宋体"/>
      <charset val="0"/>
      <scheme val="minor"/>
    </font>
    <font>
      <b/>
      <sz val="11"/>
      <color rgb="FFFFFFFF"/>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43">
    <fill>
      <patternFill patternType="none"/>
    </fill>
    <fill>
      <patternFill patternType="gray125"/>
    </fill>
    <fill>
      <patternFill patternType="solid">
        <fgColor theme="9" tint="0.4"/>
        <bgColor indexed="64"/>
      </patternFill>
    </fill>
    <fill>
      <patternFill patternType="solid">
        <fgColor theme="9"/>
        <bgColor indexed="64"/>
      </patternFill>
    </fill>
    <fill>
      <patternFill patternType="solid">
        <fgColor rgb="FFFFFF00"/>
        <bgColor indexed="64"/>
      </patternFill>
    </fill>
    <fill>
      <patternFill patternType="solid">
        <fgColor theme="4" tint="0.4"/>
        <bgColor indexed="64"/>
      </patternFill>
    </fill>
    <fill>
      <patternFill patternType="solid">
        <fgColor theme="7" tint="0.6"/>
        <bgColor indexed="64"/>
      </patternFill>
    </fill>
    <fill>
      <patternFill patternType="solid">
        <fgColor rgb="FF92D050"/>
        <bgColor indexed="64"/>
      </patternFill>
    </fill>
    <fill>
      <patternFill patternType="solid">
        <fgColor theme="4" tint="0.399975585192419"/>
        <bgColor indexed="55"/>
      </patternFill>
    </fill>
    <fill>
      <patternFill patternType="solid">
        <fgColor rgb="FF92D050"/>
        <bgColor indexed="55"/>
      </patternFill>
    </fill>
    <fill>
      <patternFill patternType="solid">
        <fgColor theme="4"/>
        <bgColor theme="4"/>
      </patternFill>
    </fill>
    <fill>
      <patternFill patternType="solid">
        <fgColor rgb="FFFF0000"/>
        <bgColor indexed="55"/>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7"/>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alignment vertical="center"/>
    </xf>
    <xf numFmtId="179" fontId="2" fillId="0" borderId="0" applyFont="0" applyFill="0" applyBorder="0" applyAlignment="0" applyProtection="0">
      <alignment vertical="center"/>
    </xf>
    <xf numFmtId="0" fontId="14" fillId="23" borderId="0" applyNumberFormat="0" applyBorder="0" applyAlignment="0" applyProtection="0">
      <alignment vertical="center"/>
    </xf>
    <xf numFmtId="0" fontId="7" fillId="14" borderId="3" applyNumberFormat="0" applyAlignment="0" applyProtection="0">
      <alignment vertical="center"/>
    </xf>
    <xf numFmtId="178"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20" borderId="0" applyNumberFormat="0" applyBorder="0" applyAlignment="0" applyProtection="0">
      <alignment vertical="center"/>
    </xf>
    <xf numFmtId="0" fontId="12" fillId="17" borderId="0" applyNumberFormat="0" applyBorder="0" applyAlignment="0" applyProtection="0">
      <alignment vertical="center"/>
    </xf>
    <xf numFmtId="43" fontId="2" fillId="0" borderId="0" applyFont="0" applyFill="0" applyBorder="0" applyAlignment="0" applyProtection="0">
      <alignment vertical="center"/>
    </xf>
    <xf numFmtId="0" fontId="10" fillId="16" borderId="0" applyNumberFormat="0" applyBorder="0" applyAlignment="0" applyProtection="0">
      <alignment vertical="center"/>
    </xf>
    <xf numFmtId="0" fontId="15" fillId="0" borderId="0" applyNumberFormat="0" applyFill="0" applyBorder="0" applyAlignment="0" applyProtection="0">
      <alignment vertical="center"/>
    </xf>
    <xf numFmtId="9" fontId="2" fillId="0" borderId="0" applyFont="0" applyFill="0" applyBorder="0" applyAlignment="0" applyProtection="0">
      <alignment vertical="center"/>
    </xf>
    <xf numFmtId="0" fontId="6" fillId="0" borderId="0" applyNumberFormat="0" applyFill="0" applyBorder="0" applyAlignment="0" applyProtection="0">
      <alignment vertical="center"/>
    </xf>
    <xf numFmtId="0" fontId="2" fillId="13" borderId="2" applyNumberFormat="0" applyFont="0" applyAlignment="0" applyProtection="0">
      <alignment vertical="center"/>
    </xf>
    <xf numFmtId="0" fontId="10" fillId="27"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9" applyNumberFormat="0" applyFill="0" applyAlignment="0" applyProtection="0">
      <alignment vertical="center"/>
    </xf>
    <xf numFmtId="0" fontId="21" fillId="0" borderId="9" applyNumberFormat="0" applyFill="0" applyAlignment="0" applyProtection="0">
      <alignment vertical="center"/>
    </xf>
    <xf numFmtId="0" fontId="10" fillId="32" borderId="0" applyNumberFormat="0" applyBorder="0" applyAlignment="0" applyProtection="0">
      <alignment vertical="center"/>
    </xf>
    <xf numFmtId="0" fontId="8" fillId="0" borderId="4" applyNumberFormat="0" applyFill="0" applyAlignment="0" applyProtection="0">
      <alignment vertical="center"/>
    </xf>
    <xf numFmtId="0" fontId="10" fillId="36" borderId="0" applyNumberFormat="0" applyBorder="0" applyAlignment="0" applyProtection="0">
      <alignment vertical="center"/>
    </xf>
    <xf numFmtId="0" fontId="18" fillId="29" borderId="8" applyNumberFormat="0" applyAlignment="0" applyProtection="0">
      <alignment vertical="center"/>
    </xf>
    <xf numFmtId="0" fontId="20" fillId="29" borderId="3" applyNumberFormat="0" applyAlignment="0" applyProtection="0">
      <alignment vertical="center"/>
    </xf>
    <xf numFmtId="0" fontId="16" fillId="28" borderId="7" applyNumberFormat="0" applyAlignment="0" applyProtection="0">
      <alignment vertical="center"/>
    </xf>
    <xf numFmtId="0" fontId="14" fillId="19" borderId="0" applyNumberFormat="0" applyBorder="0" applyAlignment="0" applyProtection="0">
      <alignment vertical="center"/>
    </xf>
    <xf numFmtId="0" fontId="10" fillId="39" borderId="0" applyNumberFormat="0" applyBorder="0" applyAlignment="0" applyProtection="0">
      <alignment vertical="center"/>
    </xf>
    <xf numFmtId="0" fontId="11" fillId="0" borderId="5" applyNumberFormat="0" applyFill="0" applyAlignment="0" applyProtection="0">
      <alignment vertical="center"/>
    </xf>
    <xf numFmtId="0" fontId="13" fillId="0" borderId="6" applyNumberFormat="0" applyFill="0" applyAlignment="0" applyProtection="0">
      <alignment vertical="center"/>
    </xf>
    <xf numFmtId="0" fontId="22" fillId="31" borderId="0" applyNumberFormat="0" applyBorder="0" applyAlignment="0" applyProtection="0">
      <alignment vertical="center"/>
    </xf>
    <xf numFmtId="0" fontId="23" fillId="42" borderId="0" applyNumberFormat="0" applyBorder="0" applyAlignment="0" applyProtection="0">
      <alignment vertical="center"/>
    </xf>
    <xf numFmtId="0" fontId="14" fillId="38" borderId="0" applyNumberFormat="0" applyBorder="0" applyAlignment="0" applyProtection="0">
      <alignment vertical="center"/>
    </xf>
    <xf numFmtId="0" fontId="10" fillId="37" borderId="0" applyNumberFormat="0" applyBorder="0" applyAlignment="0" applyProtection="0">
      <alignment vertical="center"/>
    </xf>
    <xf numFmtId="0" fontId="14" fillId="41" borderId="0" applyNumberFormat="0" applyBorder="0" applyAlignment="0" applyProtection="0">
      <alignment vertical="center"/>
    </xf>
    <xf numFmtId="0" fontId="14" fillId="35" borderId="0" applyNumberFormat="0" applyBorder="0" applyAlignment="0" applyProtection="0">
      <alignment vertical="center"/>
    </xf>
    <xf numFmtId="0" fontId="14" fillId="26" borderId="0" applyNumberFormat="0" applyBorder="0" applyAlignment="0" applyProtection="0">
      <alignment vertical="center"/>
    </xf>
    <xf numFmtId="0" fontId="14" fillId="34" borderId="0" applyNumberFormat="0" applyBorder="0" applyAlignment="0" applyProtection="0">
      <alignment vertical="center"/>
    </xf>
    <xf numFmtId="0" fontId="10" fillId="22" borderId="0" applyNumberFormat="0" applyBorder="0" applyAlignment="0" applyProtection="0">
      <alignment vertical="center"/>
    </xf>
    <xf numFmtId="0" fontId="10" fillId="18" borderId="0" applyNumberFormat="0" applyBorder="0" applyAlignment="0" applyProtection="0">
      <alignment vertical="center"/>
    </xf>
    <xf numFmtId="0" fontId="14" fillId="25" borderId="0" applyNumberFormat="0" applyBorder="0" applyAlignment="0" applyProtection="0">
      <alignment vertical="center"/>
    </xf>
    <xf numFmtId="0" fontId="14" fillId="30" borderId="0" applyNumberFormat="0" applyBorder="0" applyAlignment="0" applyProtection="0">
      <alignment vertical="center"/>
    </xf>
    <xf numFmtId="0" fontId="10" fillId="15" borderId="0" applyNumberFormat="0" applyBorder="0" applyAlignment="0" applyProtection="0">
      <alignment vertical="center"/>
    </xf>
    <xf numFmtId="0" fontId="14" fillId="40" borderId="0" applyNumberFormat="0" applyBorder="0" applyAlignment="0" applyProtection="0">
      <alignment vertical="center"/>
    </xf>
    <xf numFmtId="0" fontId="10" fillId="21" borderId="0" applyNumberFormat="0" applyBorder="0" applyAlignment="0" applyProtection="0">
      <alignment vertical="center"/>
    </xf>
    <xf numFmtId="0" fontId="10" fillId="3" borderId="0" applyNumberFormat="0" applyBorder="0" applyAlignment="0" applyProtection="0">
      <alignment vertical="center"/>
    </xf>
    <xf numFmtId="0" fontId="14" fillId="33" borderId="0" applyNumberFormat="0" applyBorder="0" applyAlignment="0" applyProtection="0">
      <alignment vertical="center"/>
    </xf>
    <xf numFmtId="0" fontId="10" fillId="24" borderId="0" applyNumberFormat="0" applyBorder="0" applyAlignment="0" applyProtection="0">
      <alignment vertical="center"/>
    </xf>
  </cellStyleXfs>
  <cellXfs count="31">
    <xf numFmtId="0" fontId="0" fillId="0" borderId="0" xfId="0">
      <alignment vertical="center"/>
    </xf>
    <xf numFmtId="10" fontId="0" fillId="0" borderId="0" xfId="0" applyNumberFormat="1">
      <alignment vertical="center"/>
    </xf>
    <xf numFmtId="177" fontId="0" fillId="0" borderId="0" xfId="0" applyNumberFormat="1">
      <alignment vertical="center"/>
    </xf>
    <xf numFmtId="0" fontId="1" fillId="2" borderId="1" xfId="0" applyFont="1" applyFill="1" applyBorder="1" applyAlignment="1">
      <alignment horizontal="center" vertical="center"/>
    </xf>
    <xf numFmtId="0" fontId="0" fillId="0" borderId="1" xfId="0" applyBorder="1">
      <alignment vertical="center"/>
    </xf>
    <xf numFmtId="9" fontId="0" fillId="0" borderId="0" xfId="0" applyNumberFormat="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2" fillId="0" borderId="0" xfId="0" applyFont="1" applyFill="1" applyAlignment="1">
      <alignment vertical="center"/>
    </xf>
    <xf numFmtId="0" fontId="2" fillId="6" borderId="1" xfId="0" applyFont="1" applyFill="1" applyBorder="1" applyAlignment="1">
      <alignment vertical="center"/>
    </xf>
    <xf numFmtId="9" fontId="2" fillId="0" borderId="1" xfId="0" applyNumberFormat="1" applyFont="1" applyFill="1" applyBorder="1" applyAlignment="1">
      <alignment vertical="center"/>
    </xf>
    <xf numFmtId="0" fontId="2" fillId="7" borderId="1" xfId="0" applyFont="1" applyFill="1" applyBorder="1" applyAlignment="1">
      <alignment vertical="center"/>
    </xf>
    <xf numFmtId="0" fontId="2" fillId="0" borderId="1" xfId="0" applyFont="1" applyFill="1" applyBorder="1" applyAlignment="1">
      <alignment vertical="center"/>
    </xf>
    <xf numFmtId="176" fontId="2" fillId="0" borderId="1" xfId="0" applyNumberFormat="1" applyFont="1" applyFill="1" applyBorder="1" applyAlignment="1">
      <alignment vertical="center"/>
    </xf>
    <xf numFmtId="0" fontId="1" fillId="3" borderId="1" xfId="0" applyFont="1" applyFill="1" applyBorder="1"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0" fillId="4" borderId="1" xfId="0" applyFill="1" applyBorder="1">
      <alignment vertical="center"/>
    </xf>
    <xf numFmtId="22" fontId="0" fillId="0" borderId="1" xfId="0" applyNumberFormat="1" applyBorder="1">
      <alignment vertical="center"/>
    </xf>
    <xf numFmtId="176" fontId="0" fillId="0" borderId="0" xfId="0" applyNumberFormat="1">
      <alignment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2" fontId="0" fillId="0" borderId="1" xfId="0" applyNumberFormat="1" applyBorder="1" applyAlignment="1">
      <alignment horizontal="center"/>
    </xf>
    <xf numFmtId="0" fontId="4"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0" fillId="7" borderId="1" xfId="0" applyFill="1" applyBorder="1" applyAlignment="1">
      <alignment horizontal="center" vertical="center"/>
    </xf>
    <xf numFmtId="0" fontId="3" fillId="11" borderId="1" xfId="0" applyFont="1" applyFill="1" applyBorder="1" applyAlignment="1">
      <alignment horizontal="center" vertical="center" wrapText="1"/>
    </xf>
    <xf numFmtId="176" fontId="0" fillId="12" borderId="1" xfId="0" applyNumberFormat="1" applyFill="1" applyBorder="1" applyAlignment="1">
      <alignment horizontal="center" vertical="center"/>
    </xf>
    <xf numFmtId="0" fontId="0" fillId="0" borderId="1" xfId="0" applyBorder="1" applyAlignment="1">
      <alignment horizontal="center" vertical="center" wrapText="1"/>
    </xf>
    <xf numFmtId="0" fontId="0" fillId="0" borderId="1" xfId="0" applyBorder="1" quotePrefix="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23</xdr:row>
      <xdr:rowOff>62230</xdr:rowOff>
    </xdr:from>
    <xdr:to>
      <xdr:col>6</xdr:col>
      <xdr:colOff>114300</xdr:colOff>
      <xdr:row>32</xdr:row>
      <xdr:rowOff>42545</xdr:rowOff>
    </xdr:to>
    <xdr:pic>
      <xdr:nvPicPr>
        <xdr:cNvPr id="2" name="图片 1"/>
        <xdr:cNvPicPr>
          <a:picLocks noChangeAspect="1"/>
        </xdr:cNvPicPr>
      </xdr:nvPicPr>
      <xdr:blipFill>
        <a:blip r:embed="rId1"/>
        <a:stretch>
          <a:fillRect/>
        </a:stretch>
      </xdr:blipFill>
      <xdr:spPr>
        <a:xfrm>
          <a:off x="635" y="5720080"/>
          <a:ext cx="4571365" cy="18662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
  <sheetViews>
    <sheetView zoomScale="85" zoomScaleNormal="85" workbookViewId="0">
      <selection activeCell="G37" sqref="G37"/>
    </sheetView>
  </sheetViews>
  <sheetFormatPr defaultColWidth="9" defaultRowHeight="16.5"/>
  <cols>
    <col min="1" max="1" width="6.75" customWidth="1"/>
    <col min="2" max="3" width="8" customWidth="1"/>
    <col min="4" max="4" width="12.125" customWidth="1"/>
    <col min="5" max="5" width="11.375" customWidth="1"/>
    <col min="6" max="6" width="12.25" customWidth="1"/>
    <col min="7" max="7" width="9.25" customWidth="1"/>
    <col min="8" max="8" width="10.5" customWidth="1"/>
    <col min="9" max="9" width="8" customWidth="1"/>
    <col min="12" max="12" width="6.375" customWidth="1"/>
    <col min="13" max="13" width="7.25" customWidth="1"/>
    <col min="14" max="14" width="13.625" customWidth="1"/>
    <col min="15" max="15" width="11.375" customWidth="1"/>
    <col min="16" max="16" width="10.75" customWidth="1"/>
    <col min="17" max="17" width="10.625" customWidth="1"/>
    <col min="18" max="18" width="21.125" customWidth="1"/>
  </cols>
  <sheetData>
    <row r="1" customFormat="1" spans="1:1">
      <c r="A1" t="s">
        <v>0</v>
      </c>
    </row>
    <row r="2" ht="33" spans="1:18">
      <c r="A2" s="22" t="s">
        <v>1</v>
      </c>
      <c r="B2" s="22" t="s">
        <v>2</v>
      </c>
      <c r="C2" s="22" t="s">
        <v>3</v>
      </c>
      <c r="D2" s="23" t="s">
        <v>4</v>
      </c>
      <c r="E2" s="22" t="s">
        <v>5</v>
      </c>
      <c r="F2" s="22" t="s">
        <v>6</v>
      </c>
      <c r="G2" s="22" t="s">
        <v>7</v>
      </c>
      <c r="H2" s="22" t="s">
        <v>8</v>
      </c>
      <c r="I2" s="23" t="s">
        <v>9</v>
      </c>
      <c r="J2" s="22" t="s">
        <v>10</v>
      </c>
      <c r="K2" s="22" t="s">
        <v>11</v>
      </c>
      <c r="L2" s="22" t="s">
        <v>12</v>
      </c>
      <c r="M2" s="22" t="s">
        <v>13</v>
      </c>
      <c r="N2" s="25" t="s">
        <v>14</v>
      </c>
      <c r="O2" s="25" t="s">
        <v>15</v>
      </c>
      <c r="P2" s="26" t="s">
        <v>16</v>
      </c>
      <c r="Q2" s="28" t="s">
        <v>17</v>
      </c>
      <c r="R2" s="22" t="s">
        <v>18</v>
      </c>
    </row>
    <row r="3" spans="1:18">
      <c r="A3" s="6" t="s">
        <v>19</v>
      </c>
      <c r="B3" s="6">
        <v>201812</v>
      </c>
      <c r="C3" s="6">
        <v>201901</v>
      </c>
      <c r="D3" s="24">
        <v>13300</v>
      </c>
      <c r="E3" s="24">
        <v>1138.25</v>
      </c>
      <c r="F3" s="24">
        <v>1260</v>
      </c>
      <c r="G3" s="24">
        <v>0</v>
      </c>
      <c r="H3" s="24">
        <v>380.18</v>
      </c>
      <c r="I3" s="6">
        <v>8640</v>
      </c>
      <c r="J3" s="6">
        <v>56.07</v>
      </c>
      <c r="K3" s="24">
        <f t="shared" ref="K3:K14" si="0">H3+J3</f>
        <v>436.25</v>
      </c>
      <c r="L3" s="6" t="s">
        <v>20</v>
      </c>
      <c r="M3" s="6">
        <v>1</v>
      </c>
      <c r="N3" s="6">
        <f>D3+$I$3-E3-F3-G3-5000*M3</f>
        <v>14541.75</v>
      </c>
      <c r="O3" s="6">
        <f>ROUND(5*MAX(0,N3*{0.6;2;4;5;6;7;9}%-{0;504;3384;6384;10584;17184;36384}),2)</f>
        <v>436.25</v>
      </c>
      <c r="P3" s="6">
        <f>O3</f>
        <v>436.25</v>
      </c>
      <c r="Q3" s="29">
        <f>K3-P3</f>
        <v>0</v>
      </c>
      <c r="R3" s="6"/>
    </row>
    <row r="4" spans="1:18">
      <c r="A4" s="6"/>
      <c r="B4" s="6">
        <v>201901</v>
      </c>
      <c r="C4" s="6">
        <v>201902</v>
      </c>
      <c r="D4" s="24">
        <v>18500</v>
      </c>
      <c r="E4" s="24">
        <v>1138.25</v>
      </c>
      <c r="F4" s="24">
        <v>1260</v>
      </c>
      <c r="G4" s="24">
        <v>3000</v>
      </c>
      <c r="H4" s="24">
        <f t="shared" ref="H4:H14" si="1">P4</f>
        <v>243.06</v>
      </c>
      <c r="I4" s="27"/>
      <c r="J4" s="6"/>
      <c r="K4" s="24">
        <f t="shared" si="0"/>
        <v>243.06</v>
      </c>
      <c r="L4" s="6" t="s">
        <v>20</v>
      </c>
      <c r="M4" s="6">
        <f t="shared" ref="M4:M14" si="2">IF(L4="否",M3+1,1)</f>
        <v>2</v>
      </c>
      <c r="N4" s="6">
        <f>IF(L4="否",(D$4-SUM(E4:G4)-5000+N3),D4-E4-F4-5000*M4)</f>
        <v>22643.5</v>
      </c>
      <c r="O4" s="6">
        <f>ROUND(5*MAX(0,N4*{0.6;2;4;5;6;7;9}%-{0;504;3384;6384;10584;17184;36384}),2)</f>
        <v>679.31</v>
      </c>
      <c r="P4" s="6">
        <f>IF(L4="否",O4-P3,P4)</f>
        <v>243.06</v>
      </c>
      <c r="Q4" s="29">
        <f>K4-P4</f>
        <v>0</v>
      </c>
      <c r="R4" s="6"/>
    </row>
    <row r="5" ht="33" spans="1:18">
      <c r="A5" s="6"/>
      <c r="B5" s="6">
        <v>201901</v>
      </c>
      <c r="C5" s="6">
        <v>201902</v>
      </c>
      <c r="D5" s="24">
        <v>18500</v>
      </c>
      <c r="E5" s="24">
        <v>1138.25</v>
      </c>
      <c r="F5" s="24">
        <v>1260</v>
      </c>
      <c r="G5" s="24">
        <v>0</v>
      </c>
      <c r="H5" s="24">
        <f t="shared" si="1"/>
        <v>333.05</v>
      </c>
      <c r="I5" s="27"/>
      <c r="J5" s="6"/>
      <c r="K5" s="24">
        <f t="shared" si="0"/>
        <v>333.05</v>
      </c>
      <c r="L5" s="6" t="s">
        <v>20</v>
      </c>
      <c r="M5" s="6">
        <f t="shared" si="2"/>
        <v>3</v>
      </c>
      <c r="N5" s="6">
        <f>IF(L5="否",(D$4-SUM(E5:G5)-5000+N4),D5-E5-F5-5000*M5)</f>
        <v>33745.25</v>
      </c>
      <c r="O5" s="6">
        <f>ROUND(5*MAX(0,N5*{0.6;2;4;5;6;7;9}%-{0;504;3384;6384;10584;17184;36384}),2)</f>
        <v>1012.36</v>
      </c>
      <c r="P5" s="6">
        <f t="shared" ref="P5:P14" si="3">IF(L5="否",O5-O4,P5)</f>
        <v>333.05</v>
      </c>
      <c r="Q5" s="29"/>
      <c r="R5" s="30" t="s">
        <v>21</v>
      </c>
    </row>
    <row r="6" spans="1:18">
      <c r="A6" s="6"/>
      <c r="B6" s="6">
        <v>201901</v>
      </c>
      <c r="C6" s="6">
        <v>201902</v>
      </c>
      <c r="D6" s="24">
        <v>18500</v>
      </c>
      <c r="E6" s="24">
        <v>1138.25</v>
      </c>
      <c r="F6" s="24">
        <v>1260</v>
      </c>
      <c r="G6" s="24">
        <v>6000</v>
      </c>
      <c r="H6" s="24">
        <f t="shared" si="1"/>
        <v>352.34</v>
      </c>
      <c r="I6" s="27"/>
      <c r="J6" s="6"/>
      <c r="K6" s="24">
        <f t="shared" si="0"/>
        <v>352.34</v>
      </c>
      <c r="L6" s="6" t="s">
        <v>20</v>
      </c>
      <c r="M6" s="6">
        <f t="shared" si="2"/>
        <v>4</v>
      </c>
      <c r="N6" s="6">
        <f>IF(L6="否",(D$4-SUM(E6:G6)-5000+N5),D6-E6-F6-5000*M6)</f>
        <v>38847</v>
      </c>
      <c r="O6" s="6">
        <f>ROUND(5*MAX(0,N6*{0.6;2;4;5;6;7;9}%-{0;504;3384;6384;10584;17184;36384}),2)</f>
        <v>1364.7</v>
      </c>
      <c r="P6" s="6">
        <f t="shared" si="3"/>
        <v>352.34</v>
      </c>
      <c r="Q6" s="29"/>
      <c r="R6" s="6" t="s">
        <v>22</v>
      </c>
    </row>
    <row r="7" customHeight="1" spans="1:18">
      <c r="A7" s="6"/>
      <c r="B7" s="6">
        <v>201901</v>
      </c>
      <c r="C7" s="6">
        <v>201902</v>
      </c>
      <c r="D7" s="24">
        <v>18500</v>
      </c>
      <c r="E7" s="24">
        <v>1138.25</v>
      </c>
      <c r="F7" s="24">
        <v>1260</v>
      </c>
      <c r="G7" s="24">
        <v>6000</v>
      </c>
      <c r="H7" s="24">
        <f t="shared" si="1"/>
        <v>510.18</v>
      </c>
      <c r="I7" s="27"/>
      <c r="J7" s="6"/>
      <c r="K7" s="24">
        <f t="shared" si="0"/>
        <v>510.18</v>
      </c>
      <c r="L7" s="6" t="s">
        <v>20</v>
      </c>
      <c r="M7" s="6">
        <f t="shared" si="2"/>
        <v>5</v>
      </c>
      <c r="N7" s="6">
        <f>IF(L7="否",(D$4-SUM(E7:G7)-5000+N6),D7-E7-F7-5000*M7)</f>
        <v>43948.75</v>
      </c>
      <c r="O7" s="6">
        <f>ROUND(5*MAX(0,N7*{0.6;2;4;5;6;7;9}%-{0;504;3384;6384;10584;17184;36384}),2)</f>
        <v>1874.88</v>
      </c>
      <c r="P7" s="6">
        <f t="shared" si="3"/>
        <v>510.18</v>
      </c>
      <c r="Q7" s="29"/>
      <c r="R7" s="8" t="str">
        <f>B7&amp;"预计扣税"&amp;P7</f>
        <v>201901预计扣税510.18</v>
      </c>
    </row>
    <row r="8" ht="49.5" customHeight="1" spans="1:18">
      <c r="A8" s="6"/>
      <c r="B8" s="6">
        <v>201901</v>
      </c>
      <c r="C8" s="6">
        <v>201902</v>
      </c>
      <c r="D8" s="24">
        <v>18500</v>
      </c>
      <c r="E8" s="24">
        <v>1138.25</v>
      </c>
      <c r="F8" s="24">
        <v>1260</v>
      </c>
      <c r="G8" s="24">
        <v>0</v>
      </c>
      <c r="H8" s="24">
        <f t="shared" si="1"/>
        <v>1110.17</v>
      </c>
      <c r="I8" s="27"/>
      <c r="J8" s="6"/>
      <c r="K8" s="24">
        <f t="shared" si="0"/>
        <v>1110.17</v>
      </c>
      <c r="L8" s="6" t="s">
        <v>20</v>
      </c>
      <c r="M8" s="6">
        <f t="shared" si="2"/>
        <v>6</v>
      </c>
      <c r="N8" s="6">
        <f>IF(L8="否",(D$4-SUM(E8:G8)-5000+N7),D8-E8-F8-5000*M8)</f>
        <v>55050.5</v>
      </c>
      <c r="O8" s="6">
        <f>ROUND(5*MAX(0,N8*{0.6;2;4;5;6;7;9}%-{0;504;3384;6384;10584;17184;36384}),2)</f>
        <v>2985.05</v>
      </c>
      <c r="P8" s="6">
        <f t="shared" si="3"/>
        <v>1110.17</v>
      </c>
      <c r="Q8" s="29"/>
      <c r="R8" s="8" t="str">
        <f>B8&amp;"预计扣税"&amp;P8</f>
        <v>201901预计扣税1110.17</v>
      </c>
    </row>
    <row r="9" customFormat="1" spans="1:18">
      <c r="A9" s="6" t="s">
        <v>23</v>
      </c>
      <c r="B9" s="6">
        <v>201901</v>
      </c>
      <c r="C9" s="6">
        <v>201902</v>
      </c>
      <c r="D9" s="24">
        <v>18500</v>
      </c>
      <c r="E9" s="24">
        <v>1138.25</v>
      </c>
      <c r="F9" s="24">
        <v>1260</v>
      </c>
      <c r="G9" s="24">
        <v>6000</v>
      </c>
      <c r="H9" s="24">
        <f t="shared" si="1"/>
        <v>510.18</v>
      </c>
      <c r="I9" s="27"/>
      <c r="J9" s="6"/>
      <c r="K9" s="24">
        <f t="shared" si="0"/>
        <v>510.18</v>
      </c>
      <c r="L9" s="6" t="s">
        <v>20</v>
      </c>
      <c r="M9" s="6">
        <f t="shared" si="2"/>
        <v>7</v>
      </c>
      <c r="N9" s="6">
        <f>IF(L9="否",(D$4-SUM(E9:G9)-5000+N8),D9-E9-F9-5000*M9)</f>
        <v>60152.25</v>
      </c>
      <c r="O9" s="6">
        <f>ROUND(5*MAX(0,N9*{0.6;2;4;5;6;7;9}%-{0;504;3384;6384;10584;17184;36384}),2)</f>
        <v>3495.23</v>
      </c>
      <c r="P9" s="6">
        <f t="shared" si="3"/>
        <v>510.18</v>
      </c>
      <c r="Q9" s="29"/>
      <c r="R9" s="8"/>
    </row>
    <row r="10" customFormat="1" spans="1:18">
      <c r="A10" s="6"/>
      <c r="B10" s="6">
        <v>201901</v>
      </c>
      <c r="C10" s="6">
        <v>201902</v>
      </c>
      <c r="D10" s="24">
        <v>18500</v>
      </c>
      <c r="E10" s="24">
        <v>1138.25</v>
      </c>
      <c r="F10" s="24">
        <v>1260</v>
      </c>
      <c r="G10" s="24">
        <v>3000</v>
      </c>
      <c r="H10" s="24">
        <f t="shared" si="1"/>
        <v>810.17</v>
      </c>
      <c r="I10" s="27"/>
      <c r="J10" s="6"/>
      <c r="K10" s="24">
        <f t="shared" si="0"/>
        <v>810.17</v>
      </c>
      <c r="L10" s="6" t="s">
        <v>20</v>
      </c>
      <c r="M10" s="6">
        <f t="shared" si="2"/>
        <v>8</v>
      </c>
      <c r="N10" s="6">
        <f>IF(L10="否",(D$4-SUM(E10:G10)-5000+N9),D10-E10-F10-5000*M10)</f>
        <v>68254</v>
      </c>
      <c r="O10" s="6">
        <f>ROUND(5*MAX(0,N10*{0.6;2;4;5;6;7;9}%-{0;504;3384;6384;10584;17184;36384}),2)</f>
        <v>4305.4</v>
      </c>
      <c r="P10" s="6">
        <f t="shared" si="3"/>
        <v>810.17</v>
      </c>
      <c r="Q10" s="29"/>
      <c r="R10" s="8"/>
    </row>
    <row r="11" spans="1:18">
      <c r="A11" s="6"/>
      <c r="B11" s="6">
        <v>201901</v>
      </c>
      <c r="C11" s="6">
        <v>201902</v>
      </c>
      <c r="D11" s="24">
        <v>18500</v>
      </c>
      <c r="E11" s="24">
        <v>1138.25</v>
      </c>
      <c r="F11" s="24">
        <v>1260</v>
      </c>
      <c r="G11" s="24">
        <v>3000</v>
      </c>
      <c r="H11" s="24">
        <f t="shared" si="1"/>
        <v>810.18</v>
      </c>
      <c r="I11" s="27"/>
      <c r="J11" s="6"/>
      <c r="K11" s="24">
        <f t="shared" si="0"/>
        <v>810.18</v>
      </c>
      <c r="L11" s="6" t="s">
        <v>20</v>
      </c>
      <c r="M11" s="6">
        <f t="shared" si="2"/>
        <v>9</v>
      </c>
      <c r="N11" s="6">
        <f>IF(L11="否",(D$4-SUM(E11:G11)-5000+N10),D11-E11-F11-5000*M11)</f>
        <v>76355.75</v>
      </c>
      <c r="O11" s="6">
        <f>ROUND(5*MAX(0,N11*{0.6;2;4;5;6;7;9}%-{0;504;3384;6384;10584;17184;36384}),2)</f>
        <v>5115.58</v>
      </c>
      <c r="P11" s="6">
        <f t="shared" si="3"/>
        <v>810.18</v>
      </c>
      <c r="Q11" s="29"/>
      <c r="R11" s="8"/>
    </row>
    <row r="12" spans="1:18">
      <c r="A12" s="6"/>
      <c r="B12" s="6">
        <v>201901</v>
      </c>
      <c r="C12" s="6">
        <v>201902</v>
      </c>
      <c r="D12" s="24">
        <v>18500</v>
      </c>
      <c r="E12" s="24">
        <v>1138.25</v>
      </c>
      <c r="F12" s="24">
        <v>1260</v>
      </c>
      <c r="G12" s="24">
        <v>3000</v>
      </c>
      <c r="H12" s="24">
        <f t="shared" si="1"/>
        <v>810.17</v>
      </c>
      <c r="I12" s="27"/>
      <c r="J12" s="6"/>
      <c r="K12" s="24">
        <f t="shared" si="0"/>
        <v>810.17</v>
      </c>
      <c r="L12" s="6" t="s">
        <v>20</v>
      </c>
      <c r="M12" s="6">
        <f t="shared" si="2"/>
        <v>10</v>
      </c>
      <c r="N12" s="6">
        <f>IF(L12="否",(D$4-SUM(E12:G12)-5000+N11),D12-E12-F12-5000*M12)</f>
        <v>84457.5</v>
      </c>
      <c r="O12" s="6">
        <f>ROUND(5*MAX(0,N12*{0.6;2;4;5;6;7;9}%-{0;504;3384;6384;10584;17184;36384}),2)</f>
        <v>5925.75</v>
      </c>
      <c r="P12" s="6">
        <f t="shared" si="3"/>
        <v>810.17</v>
      </c>
      <c r="Q12" s="29"/>
      <c r="R12" s="8"/>
    </row>
    <row r="13" spans="1:18">
      <c r="A13" s="6"/>
      <c r="B13" s="6">
        <v>201901</v>
      </c>
      <c r="C13" s="6">
        <v>201902</v>
      </c>
      <c r="D13" s="24">
        <v>18500</v>
      </c>
      <c r="E13" s="24">
        <v>1138.25</v>
      </c>
      <c r="F13" s="24">
        <v>1260</v>
      </c>
      <c r="G13" s="24">
        <v>3000</v>
      </c>
      <c r="H13" s="24">
        <f t="shared" si="1"/>
        <v>810.18</v>
      </c>
      <c r="I13" s="27"/>
      <c r="J13" s="6"/>
      <c r="K13" s="24">
        <f t="shared" si="0"/>
        <v>810.18</v>
      </c>
      <c r="L13" s="6" t="s">
        <v>20</v>
      </c>
      <c r="M13" s="6">
        <f t="shared" si="2"/>
        <v>11</v>
      </c>
      <c r="N13" s="6">
        <f>IF(L13="否",(D$4-SUM(E13:G13)-5000+N12),D13-E13-F13-5000*M13)</f>
        <v>92559.25</v>
      </c>
      <c r="O13" s="6">
        <f>ROUND(5*MAX(0,N13*{0.6;2;4;5;6;7;9}%-{0;504;3384;6384;10584;17184;36384}),2)</f>
        <v>6735.93</v>
      </c>
      <c r="P13" s="6">
        <f t="shared" si="3"/>
        <v>810.18</v>
      </c>
      <c r="Q13" s="29"/>
      <c r="R13" s="8"/>
    </row>
    <row r="14" spans="1:18">
      <c r="A14" s="6"/>
      <c r="B14" s="6">
        <v>201901</v>
      </c>
      <c r="C14" s="6">
        <v>201902</v>
      </c>
      <c r="D14" s="24">
        <v>18500</v>
      </c>
      <c r="E14" s="24">
        <v>1138.25</v>
      </c>
      <c r="F14" s="24">
        <v>1260</v>
      </c>
      <c r="G14" s="24">
        <v>3000</v>
      </c>
      <c r="H14" s="24">
        <f t="shared" si="1"/>
        <v>810.17</v>
      </c>
      <c r="I14" s="27"/>
      <c r="J14" s="6"/>
      <c r="K14" s="24">
        <f t="shared" si="0"/>
        <v>810.17</v>
      </c>
      <c r="L14" s="6" t="s">
        <v>20</v>
      </c>
      <c r="M14" s="6">
        <f t="shared" si="2"/>
        <v>12</v>
      </c>
      <c r="N14" s="6">
        <f>IF(L14="否",(D$4-SUM(E14:G14)-5000+N13),D14-E14-F14-5000*M14)</f>
        <v>100661</v>
      </c>
      <c r="O14" s="6">
        <f>ROUND(5*MAX(0,N14*{0.6;2;4;5;6;7;9}%-{0;504;3384;6384;10584;17184;36384}),2)</f>
        <v>7546.1</v>
      </c>
      <c r="P14" s="6">
        <f t="shared" si="3"/>
        <v>810.17</v>
      </c>
      <c r="Q14" s="29"/>
      <c r="R14" s="8"/>
    </row>
  </sheetData>
  <mergeCells count="2">
    <mergeCell ref="A3:A8"/>
    <mergeCell ref="A9:A14"/>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33"/>
  <sheetViews>
    <sheetView topLeftCell="A7" workbookViewId="0">
      <selection activeCell="F32" sqref="F32"/>
    </sheetView>
  </sheetViews>
  <sheetFormatPr defaultColWidth="9" defaultRowHeight="16.5" outlineLevelCol="7"/>
  <cols>
    <col min="3" max="3" width="12.625"/>
    <col min="4" max="4" width="14.75"/>
    <col min="6" max="6" width="13.625" customWidth="1"/>
    <col min="7" max="7" width="10.375"/>
  </cols>
  <sheetData>
    <row r="3" spans="3:4">
      <c r="C3" t="s">
        <v>24</v>
      </c>
      <c r="D3">
        <v>500000</v>
      </c>
    </row>
    <row r="4" spans="3:4">
      <c r="C4" t="s">
        <v>25</v>
      </c>
      <c r="D4" s="2">
        <v>0.049</v>
      </c>
    </row>
    <row r="5" spans="3:7">
      <c r="C5" t="s">
        <v>26</v>
      </c>
      <c r="D5" s="2">
        <f>D4/12</f>
        <v>0.00408333333333333</v>
      </c>
      <c r="G5">
        <v>1527748</v>
      </c>
    </row>
    <row r="6" spans="3:7">
      <c r="C6" t="s">
        <v>27</v>
      </c>
      <c r="D6">
        <f>D3/D8</f>
        <v>16666.6666666667</v>
      </c>
      <c r="G6">
        <f>G5*D4</f>
        <v>74859.652</v>
      </c>
    </row>
    <row r="7" spans="3:4">
      <c r="C7" t="s">
        <v>28</v>
      </c>
      <c r="D7">
        <v>60000</v>
      </c>
    </row>
    <row r="8" spans="3:4">
      <c r="C8" t="s">
        <v>29</v>
      </c>
      <c r="D8" s="21">
        <v>30</v>
      </c>
    </row>
    <row r="10" spans="4:6">
      <c r="D10" t="s">
        <v>30</v>
      </c>
      <c r="F10" t="s">
        <v>31</v>
      </c>
    </row>
    <row r="11" spans="1:8">
      <c r="A11" t="s">
        <v>32</v>
      </c>
      <c r="B11" t="s">
        <v>33</v>
      </c>
      <c r="C11">
        <f>$D$3</f>
        <v>500000</v>
      </c>
      <c r="D11">
        <f>C11*$D$4</f>
        <v>24500</v>
      </c>
      <c r="E11">
        <f>D11*30</f>
        <v>735000</v>
      </c>
      <c r="F11" s="21">
        <f>C11+E11</f>
        <v>1235000</v>
      </c>
      <c r="H11" t="s">
        <v>34</v>
      </c>
    </row>
    <row r="12" spans="2:6">
      <c r="B12" t="s">
        <v>35</v>
      </c>
      <c r="F12">
        <f>D8*D7</f>
        <v>1800000</v>
      </c>
    </row>
    <row r="13" spans="2:6">
      <c r="B13" t="s">
        <v>36</v>
      </c>
      <c r="F13">
        <f>F12-F11</f>
        <v>565000</v>
      </c>
    </row>
    <row r="15" spans="2:6">
      <c r="B15" t="s">
        <v>37</v>
      </c>
      <c r="C15">
        <f>(D3*D5*POWER(1+D5,D8*12))/(POWER(1+D5,D8*12)-1)</f>
        <v>2653.63360311403</v>
      </c>
      <c r="F15">
        <f>C15*D8*12</f>
        <v>955308.097121049</v>
      </c>
    </row>
    <row r="16" spans="2:6">
      <c r="B16" t="s">
        <v>38</v>
      </c>
      <c r="F16">
        <f>F12-F15</f>
        <v>844691.902878951</v>
      </c>
    </row>
    <row r="33" spans="3:3">
      <c r="C33">
        <v>1527748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zoomScale="115" zoomScaleNormal="115" topLeftCell="A7" workbookViewId="0">
      <selection activeCell="A14" sqref="A14"/>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16" t="s">
        <v>39</v>
      </c>
      <c r="B1" s="16" t="s">
        <v>40</v>
      </c>
      <c r="C1" s="16" t="s">
        <v>40</v>
      </c>
      <c r="D1" s="16" t="s">
        <v>41</v>
      </c>
      <c r="E1" s="16" t="s">
        <v>42</v>
      </c>
    </row>
    <row r="2" spans="1:5">
      <c r="A2" s="4" t="s">
        <v>43</v>
      </c>
      <c r="B2" s="4">
        <v>600519</v>
      </c>
      <c r="C2" s="31" t="s">
        <v>44</v>
      </c>
      <c r="D2" s="4"/>
      <c r="E2" s="17"/>
    </row>
    <row r="3" spans="1:5">
      <c r="A3" s="4" t="s">
        <v>45</v>
      </c>
      <c r="B3" s="4" t="s">
        <v>46</v>
      </c>
      <c r="C3" s="4" t="s">
        <v>47</v>
      </c>
      <c r="D3" s="4" t="s">
        <v>47</v>
      </c>
      <c r="E3" s="17"/>
    </row>
    <row r="4" spans="1:5">
      <c r="A4" s="4" t="s">
        <v>48</v>
      </c>
      <c r="B4" s="4" t="s">
        <v>49</v>
      </c>
      <c r="C4" s="4" t="s">
        <v>50</v>
      </c>
      <c r="D4" s="4"/>
      <c r="E4" s="17"/>
    </row>
    <row r="5" spans="1:5">
      <c r="A5" s="4" t="s">
        <v>51</v>
      </c>
      <c r="B5" s="4" t="s">
        <v>52</v>
      </c>
      <c r="C5" s="4" t="s">
        <v>53</v>
      </c>
      <c r="D5" s="4"/>
      <c r="E5" s="18"/>
    </row>
    <row r="6" spans="1:5">
      <c r="A6" s="4" t="s">
        <v>54</v>
      </c>
      <c r="B6" s="4">
        <v>34.72</v>
      </c>
      <c r="C6" s="4">
        <v>141.46</v>
      </c>
      <c r="D6" s="4" t="s">
        <v>55</v>
      </c>
      <c r="E6" s="17"/>
    </row>
    <row r="7" ht="49.5" spans="1:6">
      <c r="A7" s="4" t="s">
        <v>56</v>
      </c>
      <c r="B7" s="4">
        <v>12.56</v>
      </c>
      <c r="C7" s="4">
        <v>18.44</v>
      </c>
      <c r="D7" s="4" t="s">
        <v>57</v>
      </c>
      <c r="E7" s="17" t="s">
        <v>58</v>
      </c>
      <c r="F7" t="s">
        <v>59</v>
      </c>
    </row>
    <row r="8" ht="49.5" spans="1:6">
      <c r="A8" s="4" t="s">
        <v>60</v>
      </c>
      <c r="B8" s="4">
        <v>12.56</v>
      </c>
      <c r="C8" s="4">
        <v>21.99</v>
      </c>
      <c r="D8" s="4" t="s">
        <v>61</v>
      </c>
      <c r="E8" s="17" t="s">
        <v>62</v>
      </c>
      <c r="F8" t="s">
        <v>63</v>
      </c>
    </row>
    <row r="9" ht="82.5" spans="1:5">
      <c r="A9" s="4" t="s">
        <v>64</v>
      </c>
      <c r="B9" s="19">
        <v>1625.5</v>
      </c>
      <c r="C9" s="19">
        <v>192.05</v>
      </c>
      <c r="D9" s="4" t="s">
        <v>65</v>
      </c>
      <c r="E9" s="17" t="s">
        <v>66</v>
      </c>
    </row>
    <row r="10" ht="99" spans="1:5">
      <c r="A10" s="4" t="s">
        <v>67</v>
      </c>
      <c r="B10" s="4">
        <v>1399.49</v>
      </c>
      <c r="C10" s="4">
        <v>114.65</v>
      </c>
      <c r="D10" s="4" t="s">
        <v>68</v>
      </c>
      <c r="E10" s="17" t="s">
        <v>69</v>
      </c>
    </row>
    <row r="11" ht="115.5" spans="1:5">
      <c r="A11" s="4" t="s">
        <v>70</v>
      </c>
      <c r="B11" s="4">
        <v>148.15</v>
      </c>
      <c r="C11" s="4">
        <v>21.22</v>
      </c>
      <c r="D11" s="4" t="s">
        <v>71</v>
      </c>
      <c r="E11" s="17" t="s">
        <v>72</v>
      </c>
    </row>
    <row r="12" spans="1:5">
      <c r="A12" s="4" t="s">
        <v>73</v>
      </c>
      <c r="B12" s="4">
        <v>13.75</v>
      </c>
      <c r="C12" s="4">
        <v>71.35</v>
      </c>
      <c r="D12" s="4" t="s">
        <v>74</v>
      </c>
      <c r="E12" s="17" t="s">
        <v>75</v>
      </c>
    </row>
    <row r="13" ht="33" spans="1:5">
      <c r="A13" s="4" t="s">
        <v>76</v>
      </c>
      <c r="B13" s="4">
        <v>1.09</v>
      </c>
      <c r="C13" s="4">
        <v>3.25</v>
      </c>
      <c r="D13" s="4" t="s">
        <v>77</v>
      </c>
      <c r="E13" s="17" t="s">
        <v>78</v>
      </c>
    </row>
    <row r="14" spans="1:5">
      <c r="A14" s="4" t="s">
        <v>79</v>
      </c>
      <c r="B14" s="4">
        <v>24.244</v>
      </c>
      <c r="C14" s="4">
        <v>0.18</v>
      </c>
      <c r="D14" s="4" t="s">
        <v>80</v>
      </c>
      <c r="E14" s="17"/>
    </row>
    <row r="15" ht="49.5" spans="1:5">
      <c r="A15" s="4" t="s">
        <v>81</v>
      </c>
      <c r="B15" s="4">
        <v>99.71</v>
      </c>
      <c r="C15" s="4">
        <v>5.1</v>
      </c>
      <c r="D15" s="4" t="s">
        <v>82</v>
      </c>
      <c r="E15" s="17" t="s">
        <v>83</v>
      </c>
    </row>
    <row r="16" ht="49.5" spans="1:5">
      <c r="A16" s="4" t="s">
        <v>84</v>
      </c>
      <c r="B16" s="4">
        <v>11.26</v>
      </c>
      <c r="C16" s="4">
        <v>6.29</v>
      </c>
      <c r="D16" s="4" t="s">
        <v>85</v>
      </c>
      <c r="E16" s="17" t="s">
        <v>86</v>
      </c>
    </row>
    <row r="17" spans="1:5">
      <c r="A17" s="4" t="s">
        <v>87</v>
      </c>
      <c r="B17" s="20">
        <v>37130</v>
      </c>
      <c r="C17" s="20">
        <v>39580</v>
      </c>
      <c r="D17" s="4" t="s">
        <v>88</v>
      </c>
      <c r="E17" s="17"/>
    </row>
    <row r="18" ht="132" spans="1:5">
      <c r="A18" s="4" t="s">
        <v>89</v>
      </c>
      <c r="B18" s="4">
        <v>1054.38</v>
      </c>
      <c r="C18" s="4">
        <v>24.94</v>
      </c>
      <c r="D18" s="4" t="s">
        <v>90</v>
      </c>
      <c r="E18" s="17" t="s">
        <v>91</v>
      </c>
    </row>
    <row r="19" ht="66" spans="1:5">
      <c r="A19" s="4" t="s">
        <v>92</v>
      </c>
      <c r="B19" s="4">
        <v>83.93</v>
      </c>
      <c r="C19" s="4">
        <v>1.13</v>
      </c>
      <c r="D19" s="4" t="s">
        <v>93</v>
      </c>
      <c r="E19" s="17" t="s">
        <v>94</v>
      </c>
    </row>
    <row r="20" ht="148.5" spans="1:5">
      <c r="A20" s="4" t="s">
        <v>95</v>
      </c>
      <c r="B20" s="4">
        <v>16.64</v>
      </c>
      <c r="C20" s="4">
        <v>24.41</v>
      </c>
      <c r="D20" s="4" t="s">
        <v>96</v>
      </c>
      <c r="E20" s="17" t="s">
        <v>97</v>
      </c>
    </row>
    <row r="21" spans="1:5">
      <c r="A21" s="4" t="s">
        <v>98</v>
      </c>
      <c r="B21" s="4">
        <v>23.13</v>
      </c>
      <c r="C21" s="4">
        <v>70.51</v>
      </c>
      <c r="D21" s="4" t="s">
        <v>99</v>
      </c>
      <c r="E21" s="17"/>
    </row>
    <row r="22" spans="1:5">
      <c r="A22" s="4" t="s">
        <v>100</v>
      </c>
      <c r="B22" s="4">
        <v>91.49</v>
      </c>
      <c r="C22" s="4">
        <v>48.24</v>
      </c>
      <c r="D22" s="4" t="s">
        <v>101</v>
      </c>
      <c r="E22" s="17"/>
    </row>
    <row r="23" spans="1:5">
      <c r="A23" s="4" t="s">
        <v>102</v>
      </c>
      <c r="B23" s="4">
        <v>49.98</v>
      </c>
      <c r="C23" s="4">
        <v>5.68</v>
      </c>
      <c r="D23" s="4" t="s">
        <v>103</v>
      </c>
      <c r="E23" s="17"/>
    </row>
    <row r="24" spans="1:5">
      <c r="A24" s="4" t="s">
        <v>104</v>
      </c>
      <c r="B24" s="4">
        <v>89062</v>
      </c>
      <c r="C24" s="4">
        <v>255311</v>
      </c>
      <c r="D24" s="4" t="s">
        <v>105</v>
      </c>
      <c r="E24" s="17"/>
    </row>
    <row r="33" spans="1:1">
      <c r="A33" t="s">
        <v>106</v>
      </c>
    </row>
    <row r="34" spans="1:1">
      <c r="A34" t="s">
        <v>107</v>
      </c>
    </row>
    <row r="35" spans="1:1">
      <c r="A35" t="s">
        <v>108</v>
      </c>
    </row>
    <row r="36" spans="1:1">
      <c r="A36" t="s">
        <v>109</v>
      </c>
    </row>
    <row r="37" spans="1:1">
      <c r="A37" t="s">
        <v>110</v>
      </c>
    </row>
    <row r="38" spans="1:1">
      <c r="A38" t="s">
        <v>111</v>
      </c>
    </row>
    <row r="39" spans="1:1">
      <c r="A39" t="s">
        <v>112</v>
      </c>
    </row>
    <row r="40" spans="1:1">
      <c r="A40" t="s">
        <v>113</v>
      </c>
    </row>
    <row r="41" spans="1:1">
      <c r="A41" t="s">
        <v>114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E37"/>
  <sheetViews>
    <sheetView topLeftCell="A4" workbookViewId="0">
      <selection activeCell="F43" sqref="F43"/>
    </sheetView>
  </sheetViews>
  <sheetFormatPr defaultColWidth="9" defaultRowHeight="16.5" outlineLevelCol="4"/>
  <cols>
    <col min="5" max="5" width="13.25" customWidth="1"/>
  </cols>
  <sheetData>
    <row r="4" spans="3:5">
      <c r="C4" s="10"/>
      <c r="D4" s="11" t="s">
        <v>115</v>
      </c>
      <c r="E4" s="12">
        <v>0.1</v>
      </c>
    </row>
    <row r="5" spans="3:5">
      <c r="C5" s="10"/>
      <c r="D5" s="11" t="s">
        <v>116</v>
      </c>
      <c r="E5" s="12">
        <v>0.05</v>
      </c>
    </row>
    <row r="6" spans="3:5">
      <c r="C6" s="10"/>
      <c r="D6" s="11" t="s">
        <v>117</v>
      </c>
      <c r="E6" s="12">
        <f>E4-E5</f>
        <v>0.05</v>
      </c>
    </row>
    <row r="7" spans="3:5">
      <c r="C7" s="13" t="s">
        <v>118</v>
      </c>
      <c r="D7" s="13" t="s">
        <v>119</v>
      </c>
      <c r="E7" s="13" t="s">
        <v>120</v>
      </c>
    </row>
    <row r="8" spans="3:5">
      <c r="C8" s="14">
        <v>1</v>
      </c>
      <c r="D8" s="15">
        <v>350</v>
      </c>
      <c r="E8" s="15"/>
    </row>
    <row r="9" spans="3:5">
      <c r="C9" s="14">
        <v>2</v>
      </c>
      <c r="D9" s="15">
        <f t="shared" ref="D9:D37" si="0">D8*($E$6+1)</f>
        <v>367.5</v>
      </c>
      <c r="E9" s="15">
        <f>SUM($D$8:D9)</f>
        <v>717.5</v>
      </c>
    </row>
    <row r="10" spans="3:5">
      <c r="C10" s="14">
        <v>3</v>
      </c>
      <c r="D10" s="15">
        <f t="shared" si="0"/>
        <v>385.875</v>
      </c>
      <c r="E10" s="15">
        <f>SUM($D$8:D10)</f>
        <v>1103.375</v>
      </c>
    </row>
    <row r="11" spans="3:5">
      <c r="C11" s="14">
        <v>4</v>
      </c>
      <c r="D11" s="15">
        <f t="shared" si="0"/>
        <v>405.16875</v>
      </c>
      <c r="E11" s="15">
        <f>SUM($D$8:D11)</f>
        <v>1508.54375</v>
      </c>
    </row>
    <row r="12" spans="3:5">
      <c r="C12" s="14">
        <v>5</v>
      </c>
      <c r="D12" s="15">
        <f t="shared" si="0"/>
        <v>425.4271875</v>
      </c>
      <c r="E12" s="15">
        <f>SUM($D$8:D12)</f>
        <v>1933.9709375</v>
      </c>
    </row>
    <row r="13" spans="3:5">
      <c r="C13" s="14">
        <v>6</v>
      </c>
      <c r="D13" s="15">
        <f t="shared" si="0"/>
        <v>446.698546875</v>
      </c>
      <c r="E13" s="15">
        <f>SUM($D$8:D13)</f>
        <v>2380.669484375</v>
      </c>
    </row>
    <row r="14" spans="3:5">
      <c r="C14" s="14">
        <v>7</v>
      </c>
      <c r="D14" s="15">
        <f t="shared" si="0"/>
        <v>469.03347421875</v>
      </c>
      <c r="E14" s="15">
        <f>SUM($D$8:D14)</f>
        <v>2849.70295859375</v>
      </c>
    </row>
    <row r="15" spans="3:5">
      <c r="C15" s="14">
        <v>8</v>
      </c>
      <c r="D15" s="15">
        <f t="shared" si="0"/>
        <v>492.485147929688</v>
      </c>
      <c r="E15" s="15">
        <f>SUM($D$8:D15)</f>
        <v>3342.18810652344</v>
      </c>
    </row>
    <row r="16" spans="3:5">
      <c r="C16" s="14">
        <v>9</v>
      </c>
      <c r="D16" s="15">
        <f t="shared" si="0"/>
        <v>517.109405326172</v>
      </c>
      <c r="E16" s="15">
        <f>SUM($D$8:D16)</f>
        <v>3859.29751184961</v>
      </c>
    </row>
    <row r="17" spans="3:5">
      <c r="C17" s="14">
        <v>10</v>
      </c>
      <c r="D17" s="15">
        <f t="shared" si="0"/>
        <v>542.964875592481</v>
      </c>
      <c r="E17" s="15">
        <f>SUM($D$8:D17)</f>
        <v>4402.26238744209</v>
      </c>
    </row>
    <row r="18" spans="3:5">
      <c r="C18" s="14">
        <v>11</v>
      </c>
      <c r="D18" s="15">
        <f t="shared" si="0"/>
        <v>570.113119372105</v>
      </c>
      <c r="E18" s="15">
        <f>SUM($D$8:D18)</f>
        <v>4972.3755068142</v>
      </c>
    </row>
    <row r="19" spans="3:5">
      <c r="C19" s="14">
        <v>12</v>
      </c>
      <c r="D19" s="15">
        <f t="shared" si="0"/>
        <v>598.61877534071</v>
      </c>
      <c r="E19" s="15">
        <f>SUM($D$8:D19)</f>
        <v>5570.99428215491</v>
      </c>
    </row>
    <row r="20" spans="3:5">
      <c r="C20" s="14">
        <v>13</v>
      </c>
      <c r="D20" s="15">
        <f t="shared" si="0"/>
        <v>628.549714107746</v>
      </c>
      <c r="E20" s="15">
        <f>SUM($D$8:D20)</f>
        <v>6199.54399626265</v>
      </c>
    </row>
    <row r="21" spans="3:5">
      <c r="C21" s="14">
        <v>14</v>
      </c>
      <c r="D21" s="15">
        <f t="shared" si="0"/>
        <v>659.977199813133</v>
      </c>
      <c r="E21" s="15">
        <f>SUM($D$8:D21)</f>
        <v>6859.52119607578</v>
      </c>
    </row>
    <row r="22" spans="3:5">
      <c r="C22" s="14">
        <v>15</v>
      </c>
      <c r="D22" s="15">
        <f t="shared" si="0"/>
        <v>692.97605980379</v>
      </c>
      <c r="E22" s="15">
        <f>SUM($D$8:D22)</f>
        <v>7552.49725587957</v>
      </c>
    </row>
    <row r="23" spans="3:5">
      <c r="C23" s="14">
        <v>16</v>
      </c>
      <c r="D23" s="15">
        <f t="shared" si="0"/>
        <v>727.624862793979</v>
      </c>
      <c r="E23" s="15">
        <f>SUM($D$8:D23)</f>
        <v>8280.12211867355</v>
      </c>
    </row>
    <row r="24" spans="3:5">
      <c r="C24" s="14">
        <v>17</v>
      </c>
      <c r="D24" s="15">
        <f t="shared" si="0"/>
        <v>764.006105933678</v>
      </c>
      <c r="E24" s="15">
        <f>SUM($D$8:D24)</f>
        <v>9044.12822460723</v>
      </c>
    </row>
    <row r="25" spans="3:5">
      <c r="C25" s="14">
        <v>18</v>
      </c>
      <c r="D25" s="15">
        <f t="shared" si="0"/>
        <v>802.206411230362</v>
      </c>
      <c r="E25" s="15">
        <f>SUM($D$8:D25)</f>
        <v>9846.33463583759</v>
      </c>
    </row>
    <row r="26" spans="3:5">
      <c r="C26" s="14">
        <v>19</v>
      </c>
      <c r="D26" s="15">
        <f t="shared" si="0"/>
        <v>842.31673179188</v>
      </c>
      <c r="E26" s="15">
        <f>SUM($D$8:D26)</f>
        <v>10688.6513676295</v>
      </c>
    </row>
    <row r="27" spans="3:5">
      <c r="C27" s="14">
        <v>20</v>
      </c>
      <c r="D27" s="15">
        <f t="shared" si="0"/>
        <v>884.432568381474</v>
      </c>
      <c r="E27" s="15">
        <f>SUM($D$8:D27)</f>
        <v>11573.0839360109</v>
      </c>
    </row>
    <row r="28" spans="3:5">
      <c r="C28" s="14">
        <v>21</v>
      </c>
      <c r="D28" s="15">
        <f t="shared" si="0"/>
        <v>928.654196800548</v>
      </c>
      <c r="E28" s="15">
        <f>SUM($D$8:D28)</f>
        <v>12501.7381328115</v>
      </c>
    </row>
    <row r="29" spans="3:5">
      <c r="C29" s="14">
        <v>22</v>
      </c>
      <c r="D29" s="15">
        <f t="shared" si="0"/>
        <v>975.086906640576</v>
      </c>
      <c r="E29" s="15">
        <f>SUM($D$8:D29)</f>
        <v>13476.8250394521</v>
      </c>
    </row>
    <row r="30" spans="3:5">
      <c r="C30" s="14">
        <v>23</v>
      </c>
      <c r="D30" s="15">
        <f t="shared" si="0"/>
        <v>1023.8412519726</v>
      </c>
      <c r="E30" s="15">
        <f>SUM($D$8:D30)</f>
        <v>14500.6662914247</v>
      </c>
    </row>
    <row r="31" spans="3:5">
      <c r="C31" s="14">
        <v>24</v>
      </c>
      <c r="D31" s="15">
        <f t="shared" si="0"/>
        <v>1075.03331457123</v>
      </c>
      <c r="E31" s="15">
        <f>SUM($D$8:D31)</f>
        <v>15575.6996059959</v>
      </c>
    </row>
    <row r="32" spans="3:5">
      <c r="C32" s="14">
        <v>25</v>
      </c>
      <c r="D32" s="15">
        <f t="shared" si="0"/>
        <v>1128.7849802998</v>
      </c>
      <c r="E32" s="15">
        <f>SUM($D$8:D32)</f>
        <v>16704.4845862957</v>
      </c>
    </row>
    <row r="33" spans="3:5">
      <c r="C33" s="14">
        <v>26</v>
      </c>
      <c r="D33" s="15">
        <f t="shared" si="0"/>
        <v>1185.22422931479</v>
      </c>
      <c r="E33" s="15">
        <f>SUM($D$8:D33)</f>
        <v>17889.7088156105</v>
      </c>
    </row>
    <row r="34" spans="3:5">
      <c r="C34" s="14">
        <v>27</v>
      </c>
      <c r="D34" s="15">
        <f t="shared" si="0"/>
        <v>1244.48544078053</v>
      </c>
      <c r="E34" s="15">
        <f>SUM($D$8:D34)</f>
        <v>19134.194256391</v>
      </c>
    </row>
    <row r="35" spans="3:5">
      <c r="C35" s="14">
        <v>28</v>
      </c>
      <c r="D35" s="15">
        <f t="shared" si="0"/>
        <v>1306.70971281955</v>
      </c>
      <c r="E35" s="15">
        <f>SUM($D$8:D35)</f>
        <v>20440.9039692106</v>
      </c>
    </row>
    <row r="36" spans="3:5">
      <c r="C36" s="14">
        <v>29</v>
      </c>
      <c r="D36" s="15">
        <f t="shared" si="0"/>
        <v>1372.04519846053</v>
      </c>
      <c r="E36" s="15">
        <f>SUM($D$8:D36)</f>
        <v>21812.9491676711</v>
      </c>
    </row>
    <row r="37" spans="3:5">
      <c r="C37" s="14">
        <v>30</v>
      </c>
      <c r="D37" s="15">
        <f t="shared" si="0"/>
        <v>1440.64745838356</v>
      </c>
      <c r="E37" s="15">
        <f>SUM($D$8:D37)</f>
        <v>23253.5966260547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3"/>
  <sheetViews>
    <sheetView workbookViewId="0">
      <selection activeCell="G14" sqref="G14"/>
    </sheetView>
  </sheetViews>
  <sheetFormatPr defaultColWidth="9" defaultRowHeight="16.5"/>
  <cols>
    <col min="2" max="2" width="13.25" customWidth="1"/>
  </cols>
  <sheetData>
    <row r="2" spans="2:6">
      <c r="B2" s="6" t="s">
        <v>121</v>
      </c>
      <c r="C2" s="6"/>
      <c r="D2" s="6"/>
      <c r="F2" t="s">
        <v>122</v>
      </c>
    </row>
    <row r="3" spans="2:4">
      <c r="B3" s="7" t="s">
        <v>123</v>
      </c>
      <c r="C3" s="7"/>
      <c r="D3" s="7"/>
    </row>
    <row r="4" spans="2:4">
      <c r="B4" s="4" t="s">
        <v>124</v>
      </c>
      <c r="C4" s="4"/>
      <c r="D4" s="4"/>
    </row>
    <row r="5" spans="2:4">
      <c r="B5" s="4" t="s">
        <v>125</v>
      </c>
      <c r="C5" s="4"/>
      <c r="D5" s="4"/>
    </row>
    <row r="6" spans="2:6">
      <c r="B6" s="4" t="s">
        <v>126</v>
      </c>
      <c r="C6" s="4"/>
      <c r="D6" s="4"/>
      <c r="F6" t="s">
        <v>127</v>
      </c>
    </row>
    <row r="7" spans="2:4">
      <c r="B7" s="4"/>
      <c r="C7" s="4"/>
      <c r="D7" s="4" t="s">
        <v>119</v>
      </c>
    </row>
    <row r="8" spans="2:4">
      <c r="B8" s="4" t="s">
        <v>128</v>
      </c>
      <c r="C8" s="4"/>
      <c r="D8" s="4"/>
    </row>
    <row r="9" spans="2:4">
      <c r="B9" s="4"/>
      <c r="C9" s="4"/>
      <c r="D9" s="4"/>
    </row>
    <row r="10" spans="2:7">
      <c r="B10" s="4" t="s">
        <v>129</v>
      </c>
      <c r="C10" s="4"/>
      <c r="D10" s="4" t="s">
        <v>119</v>
      </c>
      <c r="G10" t="s">
        <v>130</v>
      </c>
    </row>
    <row r="11" spans="2:4">
      <c r="B11" s="8" t="s">
        <v>131</v>
      </c>
      <c r="C11" s="8"/>
      <c r="D11" s="8"/>
    </row>
    <row r="12" spans="2:4">
      <c r="B12" s="4" t="s">
        <v>132</v>
      </c>
      <c r="C12" s="4"/>
      <c r="D12" s="4"/>
    </row>
    <row r="13" spans="2:6">
      <c r="B13" s="4" t="s">
        <v>133</v>
      </c>
      <c r="C13" s="4"/>
      <c r="D13" s="4"/>
      <c r="F13" t="s">
        <v>134</v>
      </c>
    </row>
    <row r="14" spans="2:4">
      <c r="B14" s="4" t="s">
        <v>135</v>
      </c>
      <c r="C14" s="4"/>
      <c r="D14" s="4"/>
    </row>
    <row r="15" spans="2:6">
      <c r="B15" s="4" t="s">
        <v>136</v>
      </c>
      <c r="C15" s="4"/>
      <c r="D15" s="4"/>
      <c r="F15" t="s">
        <v>137</v>
      </c>
    </row>
    <row r="16" spans="2:4">
      <c r="B16" s="4" t="s">
        <v>138</v>
      </c>
      <c r="C16" s="4"/>
      <c r="D16" s="4"/>
    </row>
    <row r="17" spans="2:4">
      <c r="B17" s="4" t="s">
        <v>139</v>
      </c>
      <c r="C17" s="4"/>
      <c r="D17" s="4"/>
    </row>
    <row r="18" spans="2:7">
      <c r="B18" s="4" t="s">
        <v>140</v>
      </c>
      <c r="C18" s="4"/>
      <c r="D18" s="4"/>
      <c r="G18" t="s">
        <v>141</v>
      </c>
    </row>
    <row r="19" spans="2:4">
      <c r="B19" s="4" t="s">
        <v>142</v>
      </c>
      <c r="C19" s="4"/>
      <c r="D19" s="4"/>
    </row>
    <row r="22" spans="2:10">
      <c r="B22" s="9" t="s">
        <v>143</v>
      </c>
      <c r="C22" s="9"/>
      <c r="D22" s="9"/>
      <c r="E22" s="9"/>
      <c r="F22" s="9"/>
      <c r="G22" s="9"/>
      <c r="H22" s="9"/>
      <c r="I22" s="9"/>
      <c r="J22" s="9"/>
    </row>
    <row r="23" spans="2:10">
      <c r="B23" s="7" t="s">
        <v>144</v>
      </c>
      <c r="C23" s="7"/>
      <c r="D23" s="7"/>
      <c r="E23" s="7"/>
      <c r="F23" s="7"/>
      <c r="G23" s="7"/>
      <c r="H23" s="8" t="s">
        <v>145</v>
      </c>
      <c r="I23" s="8"/>
      <c r="J23" s="8"/>
    </row>
    <row r="24" spans="2:10">
      <c r="B24" s="4" t="s">
        <v>146</v>
      </c>
      <c r="C24" s="4"/>
      <c r="D24" s="4"/>
      <c r="E24" s="4"/>
      <c r="F24" s="4"/>
      <c r="G24" s="4"/>
      <c r="H24" s="4" t="s">
        <v>147</v>
      </c>
      <c r="I24" s="4"/>
      <c r="J24" s="4"/>
    </row>
    <row r="25" spans="2:10">
      <c r="B25" s="4" t="s">
        <v>148</v>
      </c>
      <c r="C25" s="4"/>
      <c r="D25" s="4" t="s">
        <v>149</v>
      </c>
      <c r="E25" s="4"/>
      <c r="F25" s="4" t="s">
        <v>150</v>
      </c>
      <c r="G25" s="4"/>
      <c r="H25" s="4" t="s">
        <v>135</v>
      </c>
      <c r="I25" s="4"/>
      <c r="J25" s="4"/>
    </row>
    <row r="26" spans="2:10">
      <c r="B26" s="4"/>
      <c r="C26" s="4"/>
      <c r="D26" s="4"/>
      <c r="E26" s="4"/>
      <c r="F26" s="4"/>
      <c r="G26" s="4"/>
      <c r="H26" s="4" t="s">
        <v>151</v>
      </c>
      <c r="I26" s="4"/>
      <c r="J26" s="4"/>
    </row>
    <row r="27" spans="2:10">
      <c r="B27" s="4" t="s">
        <v>128</v>
      </c>
      <c r="C27" s="4"/>
      <c r="D27" s="4" t="s">
        <v>152</v>
      </c>
      <c r="E27" s="4"/>
      <c r="F27" s="4" t="s">
        <v>150</v>
      </c>
      <c r="G27" s="4"/>
      <c r="H27" s="4" t="s">
        <v>138</v>
      </c>
      <c r="I27" s="4"/>
      <c r="J27" s="4"/>
    </row>
    <row r="28" spans="2:10">
      <c r="B28" s="4"/>
      <c r="C28" s="4"/>
      <c r="D28" s="4"/>
      <c r="E28" s="4"/>
      <c r="F28" s="4"/>
      <c r="G28" s="4"/>
      <c r="H28" s="4" t="s">
        <v>153</v>
      </c>
      <c r="I28" s="4"/>
      <c r="J28" s="4"/>
    </row>
    <row r="29" spans="2:10">
      <c r="B29" s="4"/>
      <c r="C29" s="4"/>
      <c r="D29" s="4"/>
      <c r="E29" s="4"/>
      <c r="F29" s="4"/>
      <c r="G29" s="4"/>
      <c r="H29" s="4" t="s">
        <v>154</v>
      </c>
      <c r="I29" s="4"/>
      <c r="J29" s="4"/>
    </row>
    <row r="30" spans="2:10">
      <c r="B30" s="4" t="s">
        <v>129</v>
      </c>
      <c r="C30" s="4"/>
      <c r="D30" s="4" t="s">
        <v>155</v>
      </c>
      <c r="E30" s="4"/>
      <c r="F30" s="4" t="s">
        <v>150</v>
      </c>
      <c r="G30" s="4"/>
      <c r="H30" s="4"/>
      <c r="I30" s="4"/>
      <c r="J30" s="4"/>
    </row>
    <row r="31" spans="2:10">
      <c r="B31" s="4"/>
      <c r="C31" s="4"/>
      <c r="D31" s="4"/>
      <c r="E31" s="4"/>
      <c r="F31" s="4"/>
      <c r="G31" s="4"/>
      <c r="H31" s="4" t="s">
        <v>156</v>
      </c>
      <c r="I31" s="4"/>
      <c r="J31" s="4"/>
    </row>
    <row r="32" spans="2:10">
      <c r="B32" s="4"/>
      <c r="C32" s="4"/>
      <c r="D32" s="4"/>
      <c r="E32" s="4"/>
      <c r="F32" s="4"/>
      <c r="G32" s="4"/>
      <c r="H32" s="4"/>
      <c r="I32" s="4"/>
      <c r="J32" s="4"/>
    </row>
    <row r="33" spans="2:10">
      <c r="B33" s="4"/>
      <c r="C33" s="4"/>
      <c r="D33" s="4"/>
      <c r="E33" s="4"/>
      <c r="F33" s="4"/>
      <c r="G33" s="4"/>
      <c r="H33" s="4" t="s">
        <v>142</v>
      </c>
      <c r="I33" s="4"/>
      <c r="J33" s="4"/>
    </row>
  </sheetData>
  <mergeCells count="6">
    <mergeCell ref="B2:D2"/>
    <mergeCell ref="B3:D3"/>
    <mergeCell ref="B11:D11"/>
    <mergeCell ref="B22:J22"/>
    <mergeCell ref="B23:G23"/>
    <mergeCell ref="H23:J2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55"/>
  <sheetViews>
    <sheetView topLeftCell="A22" workbookViewId="0">
      <selection activeCell="C28" sqref="C28"/>
    </sheetView>
  </sheetViews>
  <sheetFormatPr defaultColWidth="9" defaultRowHeight="16.5"/>
  <cols>
    <col min="3" max="3" width="12.625"/>
    <col min="4" max="4" width="9.375"/>
    <col min="7" max="7" width="12.625"/>
  </cols>
  <sheetData>
    <row r="7" spans="3:4">
      <c r="C7" t="s">
        <v>157</v>
      </c>
      <c r="D7" s="1">
        <v>0.049</v>
      </c>
    </row>
    <row r="8" spans="3:4">
      <c r="C8" t="s">
        <v>158</v>
      </c>
      <c r="D8" s="5">
        <v>1.3</v>
      </c>
    </row>
    <row r="9" spans="3:4">
      <c r="C9" t="s">
        <v>159</v>
      </c>
      <c r="D9" s="32" t="s">
        <v>160</v>
      </c>
    </row>
    <row r="10" spans="3:4">
      <c r="C10" t="s">
        <v>161</v>
      </c>
      <c r="D10">
        <v>400000</v>
      </c>
    </row>
    <row r="11" spans="3:4">
      <c r="C11" t="s">
        <v>31</v>
      </c>
      <c r="D11">
        <v>1500000</v>
      </c>
    </row>
    <row r="13" spans="3:4">
      <c r="C13" t="s">
        <v>162</v>
      </c>
      <c r="D13">
        <f>D9*D7</f>
        <v>0</v>
      </c>
    </row>
    <row r="15" spans="3:4">
      <c r="C15" t="s">
        <v>163</v>
      </c>
      <c r="D15">
        <v>700000</v>
      </c>
    </row>
    <row r="16" spans="3:4">
      <c r="C16" t="s">
        <v>164</v>
      </c>
      <c r="D16">
        <f>(D11-D15)*D7*D8</f>
        <v>50960</v>
      </c>
    </row>
    <row r="18" spans="3:4">
      <c r="C18" t="s">
        <v>165</v>
      </c>
      <c r="D18">
        <f>D16-D13</f>
        <v>50960</v>
      </c>
    </row>
    <row r="27" spans="2:3">
      <c r="B27" t="s">
        <v>166</v>
      </c>
      <c r="C27">
        <v>10</v>
      </c>
    </row>
    <row r="28" spans="2:8">
      <c r="B28" t="s">
        <v>167</v>
      </c>
      <c r="C28">
        <f>2/(C27+1)</f>
        <v>0.181818181818182</v>
      </c>
      <c r="G28">
        <v>18</v>
      </c>
      <c r="H28">
        <v>8.97</v>
      </c>
    </row>
    <row r="29" spans="2:2">
      <c r="B29" t="s">
        <v>168</v>
      </c>
    </row>
    <row r="30" spans="2:3">
      <c r="B30" t="s">
        <v>169</v>
      </c>
      <c r="C30">
        <f>SUM(A32:A36)/C27</f>
        <v>4.465</v>
      </c>
    </row>
    <row r="31" spans="2:3">
      <c r="B31" t="s">
        <v>170</v>
      </c>
      <c r="C31">
        <f>A37*C28+C30*(1-C28)</f>
        <v>5.30590909090909</v>
      </c>
    </row>
    <row r="32" spans="1:1">
      <c r="A32">
        <v>9.01</v>
      </c>
    </row>
    <row r="33" spans="1:12">
      <c r="A33">
        <v>9.02</v>
      </c>
      <c r="F33">
        <v>9.09</v>
      </c>
      <c r="G33">
        <f>SUM(F33:F37)</f>
        <v>44.83</v>
      </c>
      <c r="H33">
        <f>G33/5</f>
        <v>8.966</v>
      </c>
      <c r="J33">
        <v>9.09</v>
      </c>
      <c r="K33">
        <f>SUM(J33:J42)</f>
        <v>87.39</v>
      </c>
      <c r="L33">
        <f>K33/10</f>
        <v>8.739</v>
      </c>
    </row>
    <row r="34" spans="1:10">
      <c r="A34">
        <v>8.87</v>
      </c>
      <c r="F34">
        <v>9.01</v>
      </c>
      <c r="J34">
        <v>9.01</v>
      </c>
    </row>
    <row r="35" spans="1:10">
      <c r="A35">
        <v>8.84</v>
      </c>
      <c r="F35">
        <v>9.02</v>
      </c>
      <c r="J35">
        <v>9.02</v>
      </c>
    </row>
    <row r="36" spans="1:10">
      <c r="A36">
        <v>8.91</v>
      </c>
      <c r="F36">
        <v>8.87</v>
      </c>
      <c r="J36">
        <v>8.87</v>
      </c>
    </row>
    <row r="37" spans="1:10">
      <c r="A37">
        <v>9.09</v>
      </c>
      <c r="B37" t="s">
        <v>171</v>
      </c>
      <c r="C37">
        <f>SUM(A32:A37)/6</f>
        <v>8.95666666666667</v>
      </c>
      <c r="F37">
        <v>8.84</v>
      </c>
      <c r="J37">
        <v>8.84</v>
      </c>
    </row>
    <row r="38" spans="6:10">
      <c r="F38">
        <v>8.91</v>
      </c>
      <c r="J38">
        <v>8.91</v>
      </c>
    </row>
    <row r="39" spans="10:10">
      <c r="J39">
        <v>8.85</v>
      </c>
    </row>
    <row r="40" spans="10:10">
      <c r="J40">
        <v>8.58</v>
      </c>
    </row>
    <row r="41" spans="10:10">
      <c r="J41">
        <v>8.14</v>
      </c>
    </row>
    <row r="42" spans="10:10">
      <c r="J42">
        <v>8.08</v>
      </c>
    </row>
    <row r="43" spans="10:10">
      <c r="J43">
        <v>8.02</v>
      </c>
    </row>
    <row r="44" spans="10:10">
      <c r="J44">
        <v>8.05</v>
      </c>
    </row>
    <row r="45" spans="10:10">
      <c r="J45">
        <v>8.02</v>
      </c>
    </row>
    <row r="46" spans="10:10">
      <c r="J46">
        <v>7.98</v>
      </c>
    </row>
    <row r="47" spans="10:10">
      <c r="J47">
        <v>7.95</v>
      </c>
    </row>
    <row r="48" spans="10:10">
      <c r="J48">
        <v>7.97</v>
      </c>
    </row>
    <row r="49" spans="10:10">
      <c r="J49">
        <v>7.96</v>
      </c>
    </row>
    <row r="50" spans="10:10">
      <c r="J50">
        <v>7.99</v>
      </c>
    </row>
    <row r="51" spans="10:10">
      <c r="J51">
        <v>7.98</v>
      </c>
    </row>
    <row r="52" spans="10:10">
      <c r="J52">
        <v>8.05</v>
      </c>
    </row>
    <row r="53" spans="10:10">
      <c r="J53">
        <v>8.09</v>
      </c>
    </row>
    <row r="54" spans="10:10">
      <c r="J54">
        <v>8.21</v>
      </c>
    </row>
    <row r="55" spans="10:10">
      <c r="J55">
        <v>8.04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F10"/>
  <sheetViews>
    <sheetView workbookViewId="0">
      <selection activeCell="M11" sqref="M11:M15"/>
    </sheetView>
  </sheetViews>
  <sheetFormatPr defaultColWidth="9" defaultRowHeight="16.5" outlineLevelCol="5"/>
  <cols>
    <col min="4" max="4" width="11.25" customWidth="1"/>
    <col min="13" max="13" width="11.5"/>
  </cols>
  <sheetData>
    <row r="4" spans="4:6">
      <c r="D4" s="3" t="s">
        <v>172</v>
      </c>
      <c r="E4" s="3" t="s">
        <v>173</v>
      </c>
      <c r="F4" s="3" t="s">
        <v>174</v>
      </c>
    </row>
    <row r="5" spans="4:6">
      <c r="D5" s="4" t="s">
        <v>175</v>
      </c>
      <c r="E5" s="4" t="s">
        <v>176</v>
      </c>
      <c r="F5" s="4" t="s">
        <v>177</v>
      </c>
    </row>
    <row r="6" spans="4:6">
      <c r="D6" s="4" t="s">
        <v>178</v>
      </c>
      <c r="E6" s="4" t="s">
        <v>179</v>
      </c>
      <c r="F6" s="4" t="s">
        <v>180</v>
      </c>
    </row>
    <row r="7" spans="4:6">
      <c r="D7" s="4" t="s">
        <v>181</v>
      </c>
      <c r="E7" s="4" t="s">
        <v>182</v>
      </c>
      <c r="F7" s="4" t="s">
        <v>183</v>
      </c>
    </row>
    <row r="8" spans="4:6">
      <c r="D8" s="4" t="s">
        <v>184</v>
      </c>
      <c r="E8" s="4"/>
      <c r="F8" s="4" t="s">
        <v>185</v>
      </c>
    </row>
    <row r="9" spans="4:6">
      <c r="D9" s="4" t="s">
        <v>186</v>
      </c>
      <c r="E9" s="4"/>
      <c r="F9" s="4"/>
    </row>
    <row r="10" spans="4:6">
      <c r="D10" s="4" t="s">
        <v>187</v>
      </c>
      <c r="E10" s="4"/>
      <c r="F10" s="4"/>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E9"/>
  <sheetViews>
    <sheetView tabSelected="1" workbookViewId="0">
      <selection activeCell="D4" sqref="D4:E9"/>
    </sheetView>
  </sheetViews>
  <sheetFormatPr defaultColWidth="9" defaultRowHeight="16.5" outlineLevelCol="4"/>
  <cols>
    <col min="5" max="5" width="12.625"/>
  </cols>
  <sheetData>
    <row r="4" spans="4:5">
      <c r="D4" t="s">
        <v>188</v>
      </c>
      <c r="E4" s="1">
        <v>0.049</v>
      </c>
    </row>
    <row r="5" spans="4:5">
      <c r="D5" t="s">
        <v>189</v>
      </c>
      <c r="E5" s="2">
        <f>E4/12</f>
        <v>0.00408333333333333</v>
      </c>
    </row>
    <row r="6" spans="4:5">
      <c r="D6" t="s">
        <v>190</v>
      </c>
      <c r="E6">
        <v>690000</v>
      </c>
    </row>
    <row r="7" spans="4:5">
      <c r="D7" t="s">
        <v>191</v>
      </c>
      <c r="E7">
        <v>30</v>
      </c>
    </row>
    <row r="8" spans="4:5">
      <c r="D8" t="s">
        <v>192</v>
      </c>
      <c r="E8">
        <f>E7*12</f>
        <v>360</v>
      </c>
    </row>
    <row r="9" spans="4:5">
      <c r="D9" t="s">
        <v>162</v>
      </c>
      <c r="E9">
        <f>E6*E5*POWER(1+E5,E8)/(POWER(1+E5,E8)-1)</f>
        <v>3662.01437229736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tax</vt:lpstr>
      <vt:lpstr>debt</vt:lpstr>
      <vt:lpstr>metric</vt:lpstr>
      <vt:lpstr>save boder</vt:lpstr>
      <vt:lpstr>cashflow</vt:lpstr>
      <vt:lpstr>plan</vt:lpstr>
      <vt:lpstr>warrant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2021-01-18T06:07:20Z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2052-11.1.0.10026</vt:lpwstr>
  </property>
</Properties>
</file>