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aalom\Documents\GitHub\IMN2023\data\"/>
    </mc:Choice>
  </mc:AlternateContent>
  <xr:revisionPtr revIDLastSave="0" documentId="13_ncr:1_{34006314-6FD6-49B7-B4AE-CFEDFC65B4FA}" xr6:coauthVersionLast="47" xr6:coauthVersionMax="47" xr10:uidLastSave="{00000000-0000-0000-0000-000000000000}"/>
  <bookViews>
    <workbookView xWindow="28680" yWindow="-120" windowWidth="29040" windowHeight="15840" xr2:uid="{FBC8D854-8049-474B-86D3-FA7ACE4157A3}"/>
  </bookViews>
  <sheets>
    <sheet name="Sheet1" sheetId="1" r:id="rId1"/>
    <sheet name="KMD" sheetId="3" r:id="rId2"/>
  </sheets>
  <definedNames>
    <definedName name="_xlnm._FilterDatabase" localSheetId="0" hidden="1">Sheet1!$A$1:$L$142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5" i="1" l="1"/>
  <c r="D205" i="1"/>
  <c r="D199" i="1"/>
  <c r="D173" i="1"/>
  <c r="D165" i="1"/>
  <c r="D164" i="1"/>
  <c r="D163" i="1"/>
  <c r="D160" i="1"/>
  <c r="D161" i="1"/>
  <c r="D152" i="1"/>
  <c r="D206" i="1"/>
  <c r="D203" i="1"/>
  <c r="D234" i="1"/>
  <c r="D230" i="1"/>
  <c r="D231" i="1"/>
  <c r="D232" i="1"/>
  <c r="D233" i="1"/>
  <c r="B190" i="1"/>
  <c r="D190" i="1" s="1"/>
  <c r="D201" i="1"/>
  <c r="D202" i="1"/>
  <c r="D204" i="1"/>
  <c r="D212" i="1"/>
  <c r="B184" i="1"/>
  <c r="D184" i="1" s="1"/>
  <c r="B176" i="1"/>
  <c r="D176" i="1" s="1"/>
  <c r="B171" i="1"/>
  <c r="D171" i="1" s="1"/>
  <c r="B166" i="1"/>
  <c r="D159" i="1"/>
  <c r="D162" i="1"/>
  <c r="D167" i="1"/>
  <c r="D172" i="1"/>
  <c r="D187" i="1"/>
  <c r="D189" i="1"/>
  <c r="B156" i="1"/>
  <c r="D156" i="1" s="1"/>
  <c r="B154" i="1"/>
  <c r="D154" i="1" s="1"/>
  <c r="B153" i="1"/>
  <c r="D153" i="1" s="1"/>
  <c r="D144" i="1"/>
  <c r="D155" i="1"/>
  <c r="D157" i="1"/>
  <c r="D158" i="1"/>
  <c r="E72" i="1"/>
  <c r="D120" i="1"/>
  <c r="D71" i="1"/>
  <c r="D70" i="1"/>
  <c r="E71" i="1"/>
  <c r="D62" i="1"/>
  <c r="D61" i="1"/>
  <c r="D60" i="1"/>
  <c r="D58" i="1"/>
  <c r="D57" i="1"/>
  <c r="D53" i="1"/>
  <c r="E52" i="1"/>
  <c r="D52" i="1"/>
  <c r="D51" i="1"/>
  <c r="E51" i="1"/>
  <c r="D50" i="1"/>
  <c r="D49" i="1"/>
  <c r="E49" i="1"/>
  <c r="D48" i="1"/>
  <c r="E55" i="1"/>
  <c r="D73" i="1"/>
  <c r="D32" i="1"/>
  <c r="D28" i="1"/>
  <c r="E27" i="1"/>
  <c r="D27" i="1"/>
  <c r="D26" i="1"/>
  <c r="E142" i="1"/>
  <c r="E141" i="1"/>
  <c r="E140" i="1"/>
  <c r="E138" i="1"/>
  <c r="E136" i="1"/>
  <c r="E135" i="1"/>
  <c r="E134" i="1"/>
  <c r="E133" i="1"/>
  <c r="E128" i="1"/>
  <c r="E127" i="1"/>
  <c r="E126" i="1"/>
  <c r="E125" i="1"/>
  <c r="E124" i="1"/>
  <c r="E123" i="1"/>
  <c r="E122" i="1"/>
  <c r="E117" i="1"/>
  <c r="E115" i="1"/>
  <c r="E114" i="1"/>
  <c r="E111" i="1"/>
  <c r="E109" i="1"/>
  <c r="E108" i="1"/>
  <c r="E107" i="1"/>
  <c r="E106" i="1"/>
  <c r="E105" i="1"/>
  <c r="E104" i="1"/>
  <c r="E103" i="1"/>
  <c r="E102" i="1"/>
  <c r="E101" i="1"/>
  <c r="E94" i="1"/>
  <c r="E93" i="1"/>
  <c r="E92" i="1"/>
  <c r="E91" i="1"/>
  <c r="E90" i="1"/>
  <c r="E87" i="1"/>
  <c r="E86" i="1"/>
  <c r="E84" i="1"/>
  <c r="E83" i="1"/>
  <c r="E82" i="1"/>
  <c r="E81" i="1"/>
  <c r="E80" i="1"/>
  <c r="E79" i="1"/>
  <c r="E78" i="1"/>
  <c r="E77" i="1"/>
  <c r="E76" i="1"/>
  <c r="E75" i="1"/>
  <c r="E69" i="1"/>
  <c r="E74" i="1"/>
  <c r="E68" i="1"/>
  <c r="E67" i="1"/>
  <c r="E66" i="1"/>
  <c r="E65" i="1"/>
  <c r="E64" i="1"/>
  <c r="E63" i="1"/>
  <c r="E59" i="1"/>
  <c r="E56" i="1"/>
  <c r="E54" i="1"/>
  <c r="E47" i="1"/>
  <c r="E41" i="1"/>
  <c r="E40" i="1"/>
  <c r="E39" i="1"/>
  <c r="E38" i="1"/>
  <c r="E37" i="1"/>
  <c r="E33" i="1"/>
  <c r="E31" i="1"/>
  <c r="E30" i="1"/>
  <c r="E29" i="1"/>
  <c r="E25" i="1"/>
  <c r="E116" i="1"/>
  <c r="E10" i="1"/>
  <c r="E6" i="1"/>
  <c r="D134" i="1"/>
  <c r="D133" i="1"/>
  <c r="D127" i="1"/>
  <c r="D126" i="1"/>
  <c r="D115" i="1"/>
  <c r="D114" i="1"/>
  <c r="D109" i="1"/>
  <c r="D105" i="1"/>
  <c r="D103" i="1"/>
  <c r="D102" i="1"/>
  <c r="D92" i="1"/>
  <c r="D91" i="1"/>
  <c r="D90" i="1"/>
  <c r="D59" i="1"/>
  <c r="D56" i="1"/>
  <c r="D54" i="1"/>
  <c r="D47" i="1"/>
  <c r="D41" i="1"/>
  <c r="D39" i="1"/>
  <c r="D42" i="1"/>
  <c r="E3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43" i="1"/>
  <c r="D44" i="1"/>
  <c r="D45" i="1"/>
  <c r="D46" i="1"/>
  <c r="D55" i="1"/>
  <c r="D89" i="1"/>
  <c r="D93" i="1"/>
  <c r="D94" i="1"/>
  <c r="D95" i="1"/>
  <c r="D96" i="1"/>
  <c r="D97" i="1"/>
  <c r="D98" i="1"/>
  <c r="D99" i="1"/>
  <c r="D100" i="1"/>
  <c r="D101" i="1"/>
  <c r="D104" i="1"/>
  <c r="D106" i="1"/>
  <c r="D107" i="1"/>
  <c r="D108" i="1"/>
  <c r="D110" i="1"/>
  <c r="D111" i="1"/>
  <c r="D112" i="1"/>
  <c r="D113" i="1"/>
  <c r="D117" i="1"/>
  <c r="D118" i="1"/>
  <c r="D119" i="1"/>
  <c r="D132" i="1"/>
  <c r="D128" i="1"/>
  <c r="D129" i="1"/>
  <c r="D130" i="1"/>
  <c r="D131" i="1"/>
  <c r="D135" i="1"/>
  <c r="D136" i="1"/>
  <c r="D137" i="1"/>
  <c r="D139" i="1"/>
  <c r="D140" i="1"/>
  <c r="E131" i="1"/>
  <c r="E130" i="1"/>
  <c r="E129" i="1"/>
  <c r="E119" i="1"/>
  <c r="E118" i="1"/>
  <c r="E113" i="1"/>
  <c r="E100" i="1"/>
  <c r="E99" i="1"/>
  <c r="E97" i="1"/>
  <c r="E96" i="1"/>
  <c r="E95" i="1"/>
  <c r="E46" i="1"/>
  <c r="E45" i="1"/>
  <c r="E44" i="1"/>
  <c r="E43" i="1"/>
  <c r="E42" i="1"/>
  <c r="E24" i="1"/>
  <c r="E23" i="1"/>
  <c r="E22" i="1"/>
  <c r="E21" i="1"/>
  <c r="E20" i="1"/>
  <c r="E19" i="1"/>
  <c r="E18" i="1"/>
  <c r="E17" i="1"/>
  <c r="E15" i="1"/>
  <c r="D2" i="1" l="1"/>
</calcChain>
</file>

<file path=xl/sharedStrings.xml><?xml version="1.0" encoding="utf-8"?>
<sst xmlns="http://schemas.openxmlformats.org/spreadsheetml/2006/main" count="578" uniqueCount="242">
  <si>
    <t>name</t>
  </si>
  <si>
    <t>class</t>
  </si>
  <si>
    <t>C</t>
  </si>
  <si>
    <t>db</t>
  </si>
  <si>
    <t>PA</t>
  </si>
  <si>
    <t>RT</t>
  </si>
  <si>
    <t>standard</t>
  </si>
  <si>
    <t>comments</t>
  </si>
  <si>
    <t>PC 16:0_18:2</t>
  </si>
  <si>
    <t>PC</t>
  </si>
  <si>
    <t>PI</t>
  </si>
  <si>
    <t>POS_MS2_file</t>
  </si>
  <si>
    <t>POS_MS2_scan</t>
  </si>
  <si>
    <t>NEG_MS2_file</t>
  </si>
  <si>
    <t>NEG_MS2_scan</t>
  </si>
  <si>
    <t>PA 16:0_18:2</t>
  </si>
  <si>
    <t>PI 18:2_18:2</t>
  </si>
  <si>
    <t>PI 16:0_18:2</t>
  </si>
  <si>
    <t>PC 36:3 (I)</t>
  </si>
  <si>
    <t>PC 36:3 (II)</t>
  </si>
  <si>
    <t>FA</t>
  </si>
  <si>
    <t>PS</t>
  </si>
  <si>
    <t>LPC</t>
  </si>
  <si>
    <t>PE</t>
  </si>
  <si>
    <t>PG</t>
  </si>
  <si>
    <t>PG 16:0_18:3</t>
  </si>
  <si>
    <t>PE 16:0_18:2</t>
  </si>
  <si>
    <t>PG 16:0_18:2</t>
  </si>
  <si>
    <t>PE 18:2_18:3</t>
  </si>
  <si>
    <t>PE 18:1_18:2</t>
  </si>
  <si>
    <t>PE 16:0_18:3</t>
  </si>
  <si>
    <t>TG</t>
  </si>
  <si>
    <t>DG</t>
  </si>
  <si>
    <t>DG 18:1_18:1</t>
  </si>
  <si>
    <t>name_std</t>
  </si>
  <si>
    <t>PC 18:1_18:1</t>
  </si>
  <si>
    <t>PC 18:2_18:3</t>
  </si>
  <si>
    <t>PI 18:0_18:2</t>
  </si>
  <si>
    <t>PI 18:0_18:3</t>
  </si>
  <si>
    <t>PC 18:1_18:3 / 18:2_18:2</t>
  </si>
  <si>
    <t>PA 18:1_18:3 / 18:2_18:2</t>
  </si>
  <si>
    <t>PE 18:1_18:1</t>
  </si>
  <si>
    <t>PE 18:1_18:3 / PE 18:2_18:2</t>
  </si>
  <si>
    <t>PG 18:1_18:2</t>
  </si>
  <si>
    <t>PS 18:1_18:2</t>
  </si>
  <si>
    <t>PG 18:1_18:3 / PG 18:2_18:2</t>
  </si>
  <si>
    <t>PS 16:0_18:2</t>
  </si>
  <si>
    <t>PS 18:1_18:3 / PS 18:2_18:2</t>
  </si>
  <si>
    <t>LPC 16:0</t>
  </si>
  <si>
    <t>LPC 18:0</t>
  </si>
  <si>
    <t>LPC 18:1</t>
  </si>
  <si>
    <t>LPC 18:2</t>
  </si>
  <si>
    <t>LPI</t>
  </si>
  <si>
    <t>LPI 16:0</t>
  </si>
  <si>
    <t>LPI 18:0</t>
  </si>
  <si>
    <t>LPI 18:1</t>
  </si>
  <si>
    <t>LPI 18:2</t>
  </si>
  <si>
    <t>LPC 18:3</t>
  </si>
  <si>
    <t>FA 14:0</t>
  </si>
  <si>
    <t>FA 14:1</t>
  </si>
  <si>
    <t>FA 16:0</t>
  </si>
  <si>
    <t>FA 16:1</t>
  </si>
  <si>
    <t>FA 18:0</t>
  </si>
  <si>
    <t>FA 18:1</t>
  </si>
  <si>
    <t>FA 18:2</t>
  </si>
  <si>
    <t>FA 18:3</t>
  </si>
  <si>
    <t>FA 20:0</t>
  </si>
  <si>
    <t>FA 20:1</t>
  </si>
  <si>
    <t>FA 22:0</t>
  </si>
  <si>
    <t>FA 22:1</t>
  </si>
  <si>
    <t>FA 22:6</t>
  </si>
  <si>
    <t>DGDG</t>
  </si>
  <si>
    <t>DGDG 16:0_18:3</t>
  </si>
  <si>
    <t>DGDG 16:1_18:3</t>
  </si>
  <si>
    <t>DGDG 16:3_18:2</t>
  </si>
  <si>
    <t>DGDG 16:3_18:3</t>
  </si>
  <si>
    <t>DGDG 18:2_18:3</t>
  </si>
  <si>
    <t>DGDG 18:3_18:3</t>
  </si>
  <si>
    <t>MGDG</t>
  </si>
  <si>
    <t>MGDG 16:1_18:3</t>
  </si>
  <si>
    <t>MGDG 16:3_18:2</t>
  </si>
  <si>
    <t>MGDG 16:3_18:3</t>
  </si>
  <si>
    <t>MGDG 18:2_18:3</t>
  </si>
  <si>
    <t>MGDG 18:3_18:3</t>
  </si>
  <si>
    <t>SM</t>
  </si>
  <si>
    <t>SM d18:1/16:0</t>
  </si>
  <si>
    <t>SM d18:1/18:0</t>
  </si>
  <si>
    <t>SM d18:1/20:0</t>
  </si>
  <si>
    <t>SM d18:1/22:0</t>
  </si>
  <si>
    <t>SM d18:1/24:0</t>
  </si>
  <si>
    <t>Cer</t>
  </si>
  <si>
    <t>Cer d18:0/16:0</t>
  </si>
  <si>
    <t>Cer d18:1/16:0</t>
  </si>
  <si>
    <t>HexCer</t>
  </si>
  <si>
    <t>HexCer d18:1/18:0</t>
  </si>
  <si>
    <t>LactCer</t>
  </si>
  <si>
    <t>LactCer d18:1/24:0</t>
  </si>
  <si>
    <t>CAR</t>
  </si>
  <si>
    <t>MG</t>
  </si>
  <si>
    <t>TG 14:0_14:0_14:0</t>
  </si>
  <si>
    <t>TG 16:0_16:0_16:0</t>
  </si>
  <si>
    <t>TG 16:0_16:0_18:2</t>
  </si>
  <si>
    <t>TG 18:0_18:1_18:2</t>
  </si>
  <si>
    <t>LPA</t>
  </si>
  <si>
    <t>LPA 17:0</t>
  </si>
  <si>
    <t>LPG</t>
  </si>
  <si>
    <t>LPG 17:1</t>
  </si>
  <si>
    <t>LPI 17:1</t>
  </si>
  <si>
    <t>LPS</t>
  </si>
  <si>
    <t>LPS 17:1</t>
  </si>
  <si>
    <t>MGDG 16:0_18:0</t>
  </si>
  <si>
    <t>DGDG 18:0_18:0</t>
  </si>
  <si>
    <t>IS</t>
  </si>
  <si>
    <t>CAR 12:0</t>
  </si>
  <si>
    <t>not seen in STD</t>
  </si>
  <si>
    <t>not seen in STD_NEG</t>
  </si>
  <si>
    <t>MG 18:1</t>
  </si>
  <si>
    <t>not seen in STD_POS</t>
  </si>
  <si>
    <t>PA 36:3 (II)</t>
  </si>
  <si>
    <t>not seen in POS</t>
  </si>
  <si>
    <t>not seen</t>
  </si>
  <si>
    <t>not seen in NEG / check POS</t>
  </si>
  <si>
    <t>x073_lipidgrape_xx_00_xQC_10_POS_DDA.mzML</t>
  </si>
  <si>
    <t>x064_lipidgrape_xx_00_xQC_01_POS_DDA.mzML</t>
  </si>
  <si>
    <t>x070_lipidgrape_xx_00_xQC_07_POS_DDA.mzML</t>
  </si>
  <si>
    <t>x082_lipidgrape_xx_00_xQC_19_POS_DDA.mzML</t>
  </si>
  <si>
    <t>x067_lipidgrape_xx_00_xQC_04_POS_DDA.mzML</t>
  </si>
  <si>
    <t>17.30' = PE34:1</t>
  </si>
  <si>
    <t>17.15' = PA36:2</t>
  </si>
  <si>
    <t>PA 16:0_18:1</t>
  </si>
  <si>
    <t>x082_lipidgrape_xx_00_xQC_19_NEG_DDA.mzML</t>
  </si>
  <si>
    <t>x077_lipidgrape_xx_00_xQC_14_NEG_DDA.mzML</t>
  </si>
  <si>
    <t>PA 16:0_18:3</t>
  </si>
  <si>
    <t>x073_lipidgrape_xx_00_xQC_10_NEG_DDA.mzML</t>
  </si>
  <si>
    <t>PA 18:0_18:2</t>
  </si>
  <si>
    <t>x074_lipidgrape_xx_00_xQC_11_NEG_DDA.mzML</t>
  </si>
  <si>
    <t>PA 18:1_18:2</t>
  </si>
  <si>
    <t>x071_lipidgrape_xx_00_xQC_08_NEG_DDA.mzML</t>
  </si>
  <si>
    <t>x079_lipidgrape_xx_00_xQC_16_NEG_DDA.mzML</t>
  </si>
  <si>
    <t>PA 18:2_18:2</t>
  </si>
  <si>
    <t>PA 18:2_18:3</t>
  </si>
  <si>
    <t>x075_lipidgrape_xx_00_xQC_12_NEG_DDA.mzML</t>
  </si>
  <si>
    <t>PA 18:3_18:3</t>
  </si>
  <si>
    <t>x072_lipidgrape_xx_00_xQC_09_NEG_DDA.mzML</t>
  </si>
  <si>
    <t>PA 18:2_22:0</t>
  </si>
  <si>
    <t>x065_lipidgrape_xx_00_xQC_02_NEG_DDA.mzML</t>
  </si>
  <si>
    <t>x066_lipidgrape_xx_00_xQC_03_POS_DDA.mzML</t>
  </si>
  <si>
    <t>x080_lipidgrape_xx_00_xQC_17_POS_DDA.mzML</t>
  </si>
  <si>
    <t>x076_lipidgrape_xx_00_xQC_13_POS_DDA.mzML</t>
  </si>
  <si>
    <t>x072_lipidgrape_xx_00_xQC_09_POS_DDA.mzML</t>
  </si>
  <si>
    <t>x069_lipidgrape_xx_00_xQC_06_POS_DDA.mzML</t>
  </si>
  <si>
    <t>x079_lipidgrape_xx_00_xQC_16_POS_DDA.mzML</t>
  </si>
  <si>
    <t>x077_lipidgrape_xx_00_xQC_14_POS_DDA.mzML</t>
  </si>
  <si>
    <t>x071_lipidgrape_xx_00_xQC_08_POS_DDA.mzML</t>
  </si>
  <si>
    <t>PE 16:0_18:1</t>
  </si>
  <si>
    <t>x064_lipidgrape_xx_00_xQC_01_NEG_DDA.mzML</t>
  </si>
  <si>
    <t>PE 18:0_18:2</t>
  </si>
  <si>
    <t>x070_lipidgrape_xx_00_xQC_07_NEG_DDA.mzML</t>
  </si>
  <si>
    <t>PE 18:0_18:3</t>
  </si>
  <si>
    <t>x067_lipidgrape_xx_00_xQC_04_NEG_DDA.mzML</t>
  </si>
  <si>
    <t>PE 18:2_18:2</t>
  </si>
  <si>
    <t>PE 18:3_18:3</t>
  </si>
  <si>
    <t>PE 18:2_20:0</t>
  </si>
  <si>
    <t>PE 18:2_22:0</t>
  </si>
  <si>
    <t>PE 18:3_22:0</t>
  </si>
  <si>
    <t>PE 18:2_23:0</t>
  </si>
  <si>
    <t>PE 18:2_24:0</t>
  </si>
  <si>
    <t>PE 18:2_25:0</t>
  </si>
  <si>
    <t>x078_lipidgrape_xx_00_xQC_15_NEG_DDA.mzML</t>
  </si>
  <si>
    <t>x069_lipidgrape_xx_00_xQC_06_NEG_DDA.mzML</t>
  </si>
  <si>
    <t>x083_lipidgrape_xx_00_xQC_20_NEG_DDA.mzML</t>
  </si>
  <si>
    <t>PC 18:0_18:1</t>
  </si>
  <si>
    <t>x083_lipidgrape_xx_00_xQC_20_POS_DDA.mzML</t>
  </si>
  <si>
    <t>PC 18:2_18:2</t>
  </si>
  <si>
    <t>x078_lipidgrape_xx_00_xQC_15_POS_DDA.mzML</t>
  </si>
  <si>
    <t>PC 18:3_18:3</t>
  </si>
  <si>
    <t>x065_lipidgrape_xx_00_xQC_02_POS_DDA.mzML</t>
  </si>
  <si>
    <t>x080_lipidgrape_xx_00_xQC_17_NEG_DDA.mzML</t>
  </si>
  <si>
    <t>MGDG 18:1_18:1</t>
  </si>
  <si>
    <t>MGDG 18:1_18:2</t>
  </si>
  <si>
    <t>MGDG 18:2_18:2</t>
  </si>
  <si>
    <t>x066_lipidgrape_xx_00_xQC_03_NEG_DDA.mzML</t>
  </si>
  <si>
    <t>LPE</t>
  </si>
  <si>
    <t>LPE 16:0</t>
  </si>
  <si>
    <t>DG 16:0_16:0</t>
  </si>
  <si>
    <t>x075_lipidgrape_xx_00_xQC_12_POS_DDA.mzML</t>
  </si>
  <si>
    <t>DG 16:0_18:1</t>
  </si>
  <si>
    <t>DG 16:0_18:2</t>
  </si>
  <si>
    <t>DG 16:0_18:3</t>
  </si>
  <si>
    <t>DG 18:1_18:2</t>
  </si>
  <si>
    <t>x081_lipidgrape_xx_00_xQC_18_POS_DDA.mzML</t>
  </si>
  <si>
    <t>DG 18:2_18:2</t>
  </si>
  <si>
    <t>DG 18:2_18:3</t>
  </si>
  <si>
    <t>TG 18:1_18:1_18:1</t>
  </si>
  <si>
    <t>x074_lipidgrape_xx_00_xQC_11_POS_DDA.mzML</t>
  </si>
  <si>
    <t>TG 16:0_16:0_18:1</t>
  </si>
  <si>
    <t>TG 14:0_18:2_18:2</t>
  </si>
  <si>
    <t>TG 14:0_18:2_18:3</t>
  </si>
  <si>
    <t>TG 14:2_18:2_18:2</t>
  </si>
  <si>
    <t>TG 15:1_18:2_18:2</t>
  </si>
  <si>
    <t>TG 15:1_18:2_18:3</t>
  </si>
  <si>
    <t>TG 16:0_18:0_18:1</t>
  </si>
  <si>
    <t>TG 16:0_18:1_18:1</t>
  </si>
  <si>
    <t>TG 16:0_18:1_18:2</t>
  </si>
  <si>
    <t>TG 16:0_18:2_18:2</t>
  </si>
  <si>
    <t>TG 16:1_18:2_18:2</t>
  </si>
  <si>
    <t>TG 16:2_18:2_18:2</t>
  </si>
  <si>
    <t>TG 16:1_18:3_18:3</t>
  </si>
  <si>
    <t>TG 17:0_18:1_18:2</t>
  </si>
  <si>
    <t>TG 17:0_18:2_18:2</t>
  </si>
  <si>
    <t>TG 17:2_18:2_18:2</t>
  </si>
  <si>
    <t>TG 16:0_18:1_20:0 / TG 18:0_18:0_18:1</t>
  </si>
  <si>
    <t>TG 18:0_18:1_18:1</t>
  </si>
  <si>
    <t>TG 18:1_18:1_18:2</t>
  </si>
  <si>
    <t>TG 18:1_18:2_18:2</t>
  </si>
  <si>
    <t>TG 18:1_18:2_18:3</t>
  </si>
  <si>
    <t>TG 18:1_18:3_18:3</t>
  </si>
  <si>
    <t>TG 18:2_18:3_18:3</t>
  </si>
  <si>
    <t>TG 18:3_18:3_18:3</t>
  </si>
  <si>
    <t>TG 16:0_18:2_21:0</t>
  </si>
  <si>
    <t>TG 16:0_18:1_22:0</t>
  </si>
  <si>
    <t>TG 18:1_18:1_20:0</t>
  </si>
  <si>
    <t>TG 18:1_18:2_20:0</t>
  </si>
  <si>
    <t>TG 18:2_18:2_20:0</t>
  </si>
  <si>
    <t>TG 18:2_18:3_20:0</t>
  </si>
  <si>
    <t>DG 36:6</t>
  </si>
  <si>
    <t>TG 16:0_18:1_23:0</t>
  </si>
  <si>
    <t>TG 18:1_18:1_21:0</t>
  </si>
  <si>
    <t>TG 18:1_18:2_21:0</t>
  </si>
  <si>
    <t>TG 18:2_18:2_21:0</t>
  </si>
  <si>
    <t>TG 16:0_18:1_24:0</t>
  </si>
  <si>
    <t>TG 18:1_18:1_22:0</t>
  </si>
  <si>
    <t>TG 18:1_18:2_22:0</t>
  </si>
  <si>
    <t>TG 18:2_18:2_22:0</t>
  </si>
  <si>
    <t>TG 18:2_18:3_22:0</t>
  </si>
  <si>
    <t>TG 18:1_18:1_23:0</t>
  </si>
  <si>
    <t>TG 18:1_18:2_23:0</t>
  </si>
  <si>
    <t>TG 18:2_18:2_23:0</t>
  </si>
  <si>
    <t>TG 18:1_18:1_24:0</t>
  </si>
  <si>
    <t>TG 18:1_18:2_24:0</t>
  </si>
  <si>
    <t>TG 18:2_18:2_24:0</t>
  </si>
  <si>
    <t>TG 18:2_18:3_24:0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</si>
</sst>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0" fillId="2" borderId="0" xfId="0" applyFill="1"/>
    <xf numFmtId="2" fontId="0" fillId="2" borderId="0" xfId="0" applyNumberFormat="1" applyFill="1"/>
    <xf numFmtId="2" fontId="2" fillId="2" borderId="0" xfId="0" applyNumberFormat="1" applyFont="1" applyFill="1"/>
    <xf numFmtId="2" fontId="3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E945284-3633-43DC-81E5-D2B5CE17F6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3BB-43DE-BC9E-8250ABD755D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7795A77-FD38-47A9-B16B-974FA05D74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3BB-43DE-BC9E-8250ABD755D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FF0761C-2684-499A-8FD7-F10C2F190F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3BB-43DE-BC9E-8250ABD755D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F996FB4-22E9-41FA-A345-0B0B974B44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3BB-43DE-BC9E-8250ABD755D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7ECBFC0-608C-4834-B98F-6939BB3CC0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3BB-43DE-BC9E-8250ABD755D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5C990A3-9743-4C5E-B8ED-115798BF58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3BB-43DE-BC9E-8250ABD755D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98AE4DC-2355-4F44-AA74-8430143CEC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3BB-43DE-BC9E-8250ABD755D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EE31682-470B-4DE8-81A5-2545D60DB2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3BB-43DE-BC9E-8250ABD755D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1DCF2EE-2A0E-4B43-A6C4-2ECBA17556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3BB-43DE-BC9E-8250ABD755D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8B4F6C5-D9FC-4FFB-83D0-DBF0F5B34F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3BB-43DE-BC9E-8250ABD755D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AE955C1-2ADA-4818-BC51-9BDDFC0881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3BB-43DE-BC9E-8250ABD755D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034C55D-12D1-48EC-8BA1-9B7C1BB9B8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3BB-43DE-BC9E-8250ABD755D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CCC4B43-5F36-48A2-8D5E-15A273811F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3BB-43DE-BC9E-8250ABD755D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36D7F0C-0757-4BD7-B9E2-23C89883C4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3BB-43DE-BC9E-8250ABD755D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E41F2B1-7F11-41C2-AEE3-B22311F1AC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3BB-43DE-BC9E-8250ABD755D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12DF78B-014E-424C-ADC7-361A0EE2E3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3BB-43DE-BC9E-8250ABD755D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3BB-43DE-BC9E-8250ABD755D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3BB-43DE-BC9E-8250ABD755D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3BB-43DE-BC9E-8250ABD755D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3BB-43DE-BC9E-8250ABD755D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3BB-43DE-BC9E-8250ABD755D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3BB-43DE-BC9E-8250ABD755D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3BB-43DE-BC9E-8250ABD755D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3BB-43DE-BC9E-8250ABD755D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3BB-43DE-BC9E-8250ABD755D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3BB-43DE-BC9E-8250ABD755D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3BB-43DE-BC9E-8250ABD755D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3BB-43DE-BC9E-8250ABD755D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3BB-43DE-BC9E-8250ABD755D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3BB-43DE-BC9E-8250ABD755D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3BB-43DE-BC9E-8250ABD755D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3BB-43DE-BC9E-8250ABD755D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3BB-43DE-BC9E-8250ABD755D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3BB-43DE-BC9E-8250ABD755D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3BB-43DE-BC9E-8250ABD755D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3BB-43DE-BC9E-8250ABD755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KMD!$A$2:$A$37</c:f>
              <c:numCache>
                <c:formatCode>0.00</c:formatCode>
                <c:ptCount val="36"/>
                <c:pt idx="0">
                  <c:v>15.66</c:v>
                </c:pt>
                <c:pt idx="1">
                  <c:v>16.02</c:v>
                </c:pt>
                <c:pt idx="2">
                  <c:v>17.04</c:v>
                </c:pt>
                <c:pt idx="3">
                  <c:v>16.484999999999999</c:v>
                </c:pt>
                <c:pt idx="4">
                  <c:v>15.69</c:v>
                </c:pt>
                <c:pt idx="5">
                  <c:v>15.87</c:v>
                </c:pt>
                <c:pt idx="6">
                  <c:v>15.08</c:v>
                </c:pt>
                <c:pt idx="7">
                  <c:v>16.86</c:v>
                </c:pt>
                <c:pt idx="8">
                  <c:v>17.810000000000002</c:v>
                </c:pt>
                <c:pt idx="9">
                  <c:v>17.28</c:v>
                </c:pt>
                <c:pt idx="10">
                  <c:v>16.55</c:v>
                </c:pt>
                <c:pt idx="11">
                  <c:v>16.75</c:v>
                </c:pt>
                <c:pt idx="12">
                  <c:v>15.93</c:v>
                </c:pt>
                <c:pt idx="13">
                  <c:v>15.33</c:v>
                </c:pt>
                <c:pt idx="14">
                  <c:v>14.74</c:v>
                </c:pt>
                <c:pt idx="15">
                  <c:v>16.239999999999998</c:v>
                </c:pt>
              </c:numCache>
            </c:numRef>
          </c:xVal>
          <c:yVal>
            <c:numRef>
              <c:f>KMD!$B$2:$B$37</c:f>
              <c:numCache>
                <c:formatCode>General</c:formatCode>
                <c:ptCount val="36"/>
                <c:pt idx="0">
                  <c:v>30</c:v>
                </c:pt>
                <c:pt idx="1">
                  <c:v>33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KMD!$C$2:$C$121</c15:f>
                <c15:dlblRangeCache>
                  <c:ptCount val="120"/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3</c:v>
                  </c:pt>
                  <c:pt idx="6">
                    <c:v>4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A3BB-43DE-BC9E-8250ABD75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123456"/>
        <c:axId val="402126408"/>
      </c:scatterChart>
      <c:valAx>
        <c:axId val="402123456"/>
        <c:scaling>
          <c:orientation val="minMax"/>
          <c:min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126408"/>
        <c:crosses val="autoZero"/>
        <c:crossBetween val="midCat"/>
      </c:valAx>
      <c:valAx>
        <c:axId val="40212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1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303334</xdr:colOff>
      <xdr:row>0</xdr:row>
      <xdr:rowOff>133350</xdr:rowOff>
    </xdr:from>
    <xdr:to>
      <xdr:col>10</xdr:col>
      <xdr:colOff>608134</xdr:colOff>
      <xdr:row>15</xdr:row>
      <xdr:rowOff>180023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7CDCA6-1851-4983-BF22-66C0356DF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13B5-EE2A-48F5-B604-A0A0D2D7B298}">
  <dimension ref="A1:V234"/>
  <sheetViews>
    <sheetView tabSelected="1" workbookViewId="0">
      <pane ySplit="1" topLeftCell="A203" activePane="bottomLeft" state="frozen"/>
      <selection pane="bottomLeft" activeCell="A222" sqref="A222:XFD223"/>
    </sheetView>
  </sheetViews>
  <sheetFormatPr defaultRowHeight="15" x14ac:dyDescent="0.25"/>
  <cols>
    <col min="4" max="4" width="19" customWidth="1"/>
    <col min="5" max="5" width="8.85546875" style="1"/>
    <col min="6" max="6" width="9.140625" style="9"/>
    <col min="7" max="7" width="17.5703125" customWidth="1"/>
    <col min="8" max="8" width="18.28515625" customWidth="1"/>
    <col min="10" max="10" width="8.85546875" style="2"/>
    <col min="12" max="12" width="8.85546875" style="2"/>
  </cols>
  <sheetData>
    <row r="1" spans="1:22" x14ac:dyDescent="0.25">
      <c r="A1" t="s">
        <v>1</v>
      </c>
      <c r="B1" t="s">
        <v>2</v>
      </c>
      <c r="C1" t="s">
        <v>3</v>
      </c>
      <c r="D1" t="s">
        <v>0</v>
      </c>
      <c r="E1" s="1" t="s">
        <v>5</v>
      </c>
      <c r="F1" s="9" t="s">
        <v>6</v>
      </c>
      <c r="G1" t="s">
        <v>34</v>
      </c>
      <c r="H1" t="s">
        <v>7</v>
      </c>
      <c r="I1" t="s">
        <v>11</v>
      </c>
      <c r="J1" s="2" t="s">
        <v>12</v>
      </c>
      <c r="K1" t="s">
        <v>13</v>
      </c>
      <c r="L1" s="2" t="s">
        <v>14</v>
      </c>
    </row>
    <row r="2" spans="1:22" x14ac:dyDescent="0.25">
      <c r="A2" t="s">
        <v>20</v>
      </c>
      <c r="B2">
        <v>14</v>
      </c>
      <c r="C2">
        <v>0</v>
      </c>
      <c r="D2" t="str">
        <f t="shared" ref="D2:D120" si="0">A2&amp;" "&amp;B2&amp;":"&amp;C2</f>
        <v>FA 14:0</v>
      </c>
      <c r="E2" s="4">
        <v>10.11</v>
      </c>
      <c r="F2" s="9" t="b">
        <v>1</v>
      </c>
      <c r="G2" t="s">
        <v>58</v>
      </c>
    </row>
    <row r="3" spans="1:22" x14ac:dyDescent="0.25">
      <c r="A3" t="s">
        <v>20</v>
      </c>
      <c r="B3">
        <v>14</v>
      </c>
      <c r="C3">
        <v>1</v>
      </c>
      <c r="D3" t="str">
        <f t="shared" si="0"/>
        <v>FA 14:1</v>
      </c>
      <c r="E3" s="4">
        <v>8.31</v>
      </c>
      <c r="F3" s="9" t="b">
        <v>1</v>
      </c>
      <c r="G3" t="s">
        <v>59</v>
      </c>
    </row>
    <row r="4" spans="1:22" x14ac:dyDescent="0.25">
      <c r="A4" t="s">
        <v>20</v>
      </c>
      <c r="B4">
        <v>16</v>
      </c>
      <c r="C4">
        <v>0</v>
      </c>
      <c r="D4" t="str">
        <f t="shared" si="0"/>
        <v>FA 16:0</v>
      </c>
      <c r="E4" s="4">
        <v>12.21</v>
      </c>
      <c r="F4" s="9" t="b">
        <v>1</v>
      </c>
      <c r="G4" t="s">
        <v>60</v>
      </c>
    </row>
    <row r="5" spans="1:22" x14ac:dyDescent="0.25">
      <c r="A5" t="s">
        <v>20</v>
      </c>
      <c r="B5">
        <v>16</v>
      </c>
      <c r="C5">
        <v>1</v>
      </c>
      <c r="D5" t="str">
        <f t="shared" si="0"/>
        <v>FA 16:1</v>
      </c>
      <c r="E5" s="4">
        <v>10.59</v>
      </c>
      <c r="F5" s="9" t="b">
        <v>1</v>
      </c>
      <c r="G5" t="s">
        <v>61</v>
      </c>
    </row>
    <row r="6" spans="1:22" x14ac:dyDescent="0.25">
      <c r="A6" t="s">
        <v>20</v>
      </c>
      <c r="B6">
        <v>18</v>
      </c>
      <c r="C6">
        <v>0</v>
      </c>
      <c r="D6" t="str">
        <f t="shared" si="0"/>
        <v>FA 18:0</v>
      </c>
      <c r="E6" s="1">
        <f>AVERAGE(13.89, 14.16)</f>
        <v>14.025</v>
      </c>
      <c r="F6" s="9" t="b">
        <v>1</v>
      </c>
      <c r="G6" t="s">
        <v>62</v>
      </c>
    </row>
    <row r="7" spans="1:22" x14ac:dyDescent="0.25">
      <c r="A7" t="s">
        <v>20</v>
      </c>
      <c r="B7">
        <v>18</v>
      </c>
      <c r="C7">
        <v>1</v>
      </c>
      <c r="D7" t="str">
        <f t="shared" si="0"/>
        <v>FA 18:1</v>
      </c>
      <c r="E7" s="1">
        <v>12.51</v>
      </c>
      <c r="F7" s="9" t="b">
        <v>1</v>
      </c>
      <c r="G7" t="s">
        <v>63</v>
      </c>
    </row>
    <row r="8" spans="1:22" x14ac:dyDescent="0.25">
      <c r="A8" t="s">
        <v>20</v>
      </c>
      <c r="B8">
        <v>18</v>
      </c>
      <c r="C8">
        <v>2</v>
      </c>
      <c r="D8" t="str">
        <f t="shared" si="0"/>
        <v>FA 18:2</v>
      </c>
      <c r="E8" s="1">
        <v>11.21</v>
      </c>
      <c r="F8" s="9" t="b">
        <v>1</v>
      </c>
      <c r="G8" t="s">
        <v>64</v>
      </c>
    </row>
    <row r="9" spans="1:22" x14ac:dyDescent="0.25">
      <c r="A9" t="s">
        <v>20</v>
      </c>
      <c r="B9">
        <v>18</v>
      </c>
      <c r="C9">
        <v>3</v>
      </c>
      <c r="D9" t="str">
        <f t="shared" si="0"/>
        <v>FA 18:3</v>
      </c>
      <c r="E9" s="1">
        <v>9.93</v>
      </c>
      <c r="F9" s="9" t="b">
        <v>1</v>
      </c>
      <c r="G9" t="s">
        <v>65</v>
      </c>
    </row>
    <row r="10" spans="1:22" x14ac:dyDescent="0.25">
      <c r="A10" t="s">
        <v>20</v>
      </c>
      <c r="B10">
        <v>20</v>
      </c>
      <c r="C10">
        <v>0</v>
      </c>
      <c r="D10" t="str">
        <f t="shared" si="0"/>
        <v>FA 20:0</v>
      </c>
      <c r="E10" s="1">
        <f>AVERAGE(15.25,15.37)</f>
        <v>15.309999999999999</v>
      </c>
      <c r="F10" s="9" t="b">
        <v>1</v>
      </c>
      <c r="G10" t="s">
        <v>66</v>
      </c>
      <c r="H10" t="s">
        <v>114</v>
      </c>
    </row>
    <row r="11" spans="1:22" x14ac:dyDescent="0.25">
      <c r="A11" t="s">
        <v>20</v>
      </c>
      <c r="B11">
        <v>20</v>
      </c>
      <c r="C11">
        <v>1</v>
      </c>
      <c r="D11" t="str">
        <f t="shared" si="0"/>
        <v>FA 20:1</v>
      </c>
      <c r="E11" s="1">
        <v>14.02</v>
      </c>
      <c r="F11" s="9" t="b">
        <v>1</v>
      </c>
      <c r="G11" t="s">
        <v>67</v>
      </c>
    </row>
    <row r="12" spans="1:22" x14ac:dyDescent="0.25">
      <c r="A12" t="s">
        <v>20</v>
      </c>
      <c r="B12">
        <v>22</v>
      </c>
      <c r="C12">
        <v>0</v>
      </c>
      <c r="D12" t="str">
        <f t="shared" si="0"/>
        <v>FA 22:0</v>
      </c>
      <c r="E12" s="1">
        <v>16.43</v>
      </c>
      <c r="F12" s="9" t="b">
        <v>1</v>
      </c>
      <c r="G12" t="s">
        <v>68</v>
      </c>
      <c r="H12" t="s">
        <v>114</v>
      </c>
    </row>
    <row r="13" spans="1:22" x14ac:dyDescent="0.25">
      <c r="A13" t="s">
        <v>20</v>
      </c>
      <c r="B13">
        <v>22</v>
      </c>
      <c r="C13">
        <v>1</v>
      </c>
      <c r="D13" t="str">
        <f t="shared" si="0"/>
        <v>FA 22:1</v>
      </c>
      <c r="E13" s="1">
        <v>15.31</v>
      </c>
      <c r="F13" s="9" t="b">
        <v>1</v>
      </c>
      <c r="G13" t="s">
        <v>69</v>
      </c>
    </row>
    <row r="14" spans="1:22" x14ac:dyDescent="0.25">
      <c r="A14" t="s">
        <v>20</v>
      </c>
      <c r="B14">
        <v>22</v>
      </c>
      <c r="C14">
        <v>6</v>
      </c>
      <c r="D14" t="str">
        <f t="shared" si="0"/>
        <v>FA 22:6</v>
      </c>
      <c r="E14" s="1">
        <v>10.72</v>
      </c>
      <c r="F14" s="9" t="b">
        <v>1</v>
      </c>
      <c r="G14" t="s">
        <v>70</v>
      </c>
    </row>
    <row r="15" spans="1:22" x14ac:dyDescent="0.25">
      <c r="A15" t="s">
        <v>97</v>
      </c>
      <c r="B15">
        <v>12</v>
      </c>
      <c r="C15">
        <v>0</v>
      </c>
      <c r="D15" t="str">
        <f t="shared" si="0"/>
        <v>CAR 12:0</v>
      </c>
      <c r="E15" s="1">
        <f>AVERAGE(3.28, 3.33)</f>
        <v>3.3049999999999997</v>
      </c>
      <c r="F15" s="9" t="b">
        <v>1</v>
      </c>
      <c r="G15" t="s">
        <v>113</v>
      </c>
    </row>
    <row r="16" spans="1:22" x14ac:dyDescent="0.25">
      <c r="A16" t="s">
        <v>84</v>
      </c>
      <c r="B16">
        <v>34</v>
      </c>
      <c r="C16">
        <v>1</v>
      </c>
      <c r="D16" t="str">
        <f t="shared" si="0"/>
        <v>SM 34:1</v>
      </c>
      <c r="E16" s="1">
        <v>15.91</v>
      </c>
      <c r="F16" s="9" t="b">
        <v>1</v>
      </c>
      <c r="G16" t="s">
        <v>85</v>
      </c>
      <c r="H16" t="s">
        <v>114</v>
      </c>
      <c r="K16" s="1"/>
      <c r="L16" s="1"/>
      <c r="N16" s="8"/>
      <c r="P16" s="1"/>
      <c r="T16" s="1"/>
      <c r="U16" s="1"/>
      <c r="V16" s="1"/>
    </row>
    <row r="17" spans="1:22" x14ac:dyDescent="0.25">
      <c r="A17" t="s">
        <v>84</v>
      </c>
      <c r="B17">
        <v>36</v>
      </c>
      <c r="C17">
        <v>1</v>
      </c>
      <c r="D17" t="str">
        <f t="shared" si="0"/>
        <v>SM 36:1</v>
      </c>
      <c r="E17" s="1">
        <f>AVERAGE(16.93, 16.95)</f>
        <v>16.939999999999998</v>
      </c>
      <c r="F17" s="9" t="b">
        <v>1</v>
      </c>
      <c r="G17" t="s">
        <v>86</v>
      </c>
      <c r="K17" s="1"/>
      <c r="L17" s="1"/>
      <c r="N17" s="8"/>
      <c r="P17" s="1"/>
      <c r="T17" s="1"/>
      <c r="U17" s="1"/>
      <c r="V17" s="1"/>
    </row>
    <row r="18" spans="1:22" x14ac:dyDescent="0.25">
      <c r="A18" t="s">
        <v>84</v>
      </c>
      <c r="B18">
        <v>38</v>
      </c>
      <c r="C18">
        <v>1</v>
      </c>
      <c r="D18" t="str">
        <f t="shared" si="0"/>
        <v>SM 38:1</v>
      </c>
      <c r="E18" s="1">
        <f>AVERAGE(17.72, 17.73)</f>
        <v>17.725000000000001</v>
      </c>
      <c r="F18" s="9" t="b">
        <v>1</v>
      </c>
      <c r="G18" t="s">
        <v>87</v>
      </c>
      <c r="H18" t="s">
        <v>115</v>
      </c>
      <c r="K18" s="1"/>
      <c r="L18" s="1"/>
      <c r="N18" s="8"/>
      <c r="P18" s="1"/>
      <c r="T18" s="1"/>
      <c r="U18" s="1"/>
      <c r="V18" s="1"/>
    </row>
    <row r="19" spans="1:22" x14ac:dyDescent="0.25">
      <c r="A19" t="s">
        <v>84</v>
      </c>
      <c r="B19">
        <v>40</v>
      </c>
      <c r="C19">
        <v>1</v>
      </c>
      <c r="D19" t="str">
        <f t="shared" si="0"/>
        <v>SM 40:1</v>
      </c>
      <c r="E19" s="1">
        <f>AVERAGE(18.41, 18.42)</f>
        <v>18.414999999999999</v>
      </c>
      <c r="F19" s="9" t="b">
        <v>1</v>
      </c>
      <c r="G19" t="s">
        <v>88</v>
      </c>
      <c r="K19" s="1"/>
      <c r="L19" s="1"/>
      <c r="N19" s="8"/>
      <c r="P19" s="1"/>
      <c r="T19" s="1"/>
      <c r="U19" s="1"/>
      <c r="V19" s="1"/>
    </row>
    <row r="20" spans="1:22" x14ac:dyDescent="0.25">
      <c r="A20" t="s">
        <v>84</v>
      </c>
      <c r="B20">
        <v>42</v>
      </c>
      <c r="C20">
        <v>1</v>
      </c>
      <c r="D20" t="str">
        <f t="shared" si="0"/>
        <v>SM 42:1</v>
      </c>
      <c r="E20" s="1">
        <f>AVERAGE(18.62,18.63)</f>
        <v>18.625</v>
      </c>
      <c r="F20" s="9" t="b">
        <v>1</v>
      </c>
      <c r="G20" t="s">
        <v>89</v>
      </c>
      <c r="K20" s="1"/>
      <c r="L20" s="1"/>
      <c r="N20" s="8"/>
      <c r="P20" s="1"/>
      <c r="T20" s="1"/>
      <c r="U20" s="1"/>
      <c r="V20" s="1"/>
    </row>
    <row r="21" spans="1:22" x14ac:dyDescent="0.25">
      <c r="A21" t="s">
        <v>90</v>
      </c>
      <c r="B21">
        <v>34</v>
      </c>
      <c r="C21">
        <v>0</v>
      </c>
      <c r="D21" t="str">
        <f t="shared" si="0"/>
        <v>Cer 34:0</v>
      </c>
      <c r="E21" s="1">
        <f>AVERAGE(17.49, 17.49)</f>
        <v>17.489999999999998</v>
      </c>
      <c r="F21" s="9" t="b">
        <v>1</v>
      </c>
      <c r="G21" t="s">
        <v>91</v>
      </c>
      <c r="K21" s="1"/>
      <c r="L21" s="1"/>
      <c r="N21" s="4"/>
      <c r="P21" s="1"/>
      <c r="T21" s="1"/>
      <c r="U21" s="1"/>
      <c r="V21" s="1"/>
    </row>
    <row r="22" spans="1:22" x14ac:dyDescent="0.25">
      <c r="A22" t="s">
        <v>90</v>
      </c>
      <c r="B22">
        <v>34</v>
      </c>
      <c r="C22">
        <v>1</v>
      </c>
      <c r="D22" t="str">
        <f t="shared" si="0"/>
        <v>Cer 34:1</v>
      </c>
      <c r="E22" s="1">
        <f>AVERAGE(17.2, 17.23)</f>
        <v>17.215</v>
      </c>
      <c r="F22" s="9" t="b">
        <v>1</v>
      </c>
      <c r="G22" t="s">
        <v>92</v>
      </c>
      <c r="K22" s="1"/>
      <c r="L22" s="1"/>
      <c r="N22" s="4"/>
      <c r="P22" s="1"/>
      <c r="T22" s="1"/>
      <c r="U22" s="1"/>
      <c r="V22" s="1"/>
    </row>
    <row r="23" spans="1:22" s="3" customFormat="1" x14ac:dyDescent="0.25">
      <c r="A23" t="s">
        <v>93</v>
      </c>
      <c r="B23">
        <v>36</v>
      </c>
      <c r="C23">
        <v>1</v>
      </c>
      <c r="D23" t="str">
        <f t="shared" si="0"/>
        <v>HexCer 36:1</v>
      </c>
      <c r="E23" s="1">
        <f>AVERAGE(17.29, 17.3)</f>
        <v>17.295000000000002</v>
      </c>
      <c r="F23" s="9" t="b">
        <v>1</v>
      </c>
      <c r="G23" t="s">
        <v>94</v>
      </c>
      <c r="H23"/>
      <c r="I23"/>
      <c r="J23" s="2"/>
      <c r="K23" s="1"/>
      <c r="L23" s="1"/>
      <c r="M23"/>
      <c r="N23" s="4"/>
      <c r="O23"/>
      <c r="P23"/>
      <c r="Q23"/>
      <c r="R23"/>
      <c r="S23"/>
      <c r="T23" s="1"/>
      <c r="U23" s="1"/>
    </row>
    <row r="24" spans="1:22" x14ac:dyDescent="0.25">
      <c r="A24" t="s">
        <v>95</v>
      </c>
      <c r="B24">
        <v>42</v>
      </c>
      <c r="C24">
        <v>1</v>
      </c>
      <c r="D24" t="str">
        <f t="shared" si="0"/>
        <v>LactCer 42:1</v>
      </c>
      <c r="E24" s="1">
        <f>AVERAGE(19.01,19.02)</f>
        <v>19.015000000000001</v>
      </c>
      <c r="F24" s="9" t="b">
        <v>1</v>
      </c>
      <c r="G24" t="s">
        <v>96</v>
      </c>
      <c r="K24" s="1"/>
      <c r="L24" s="1"/>
      <c r="N24" s="8"/>
      <c r="P24" s="1"/>
      <c r="T24" s="1"/>
      <c r="U24" s="1"/>
    </row>
    <row r="25" spans="1:22" x14ac:dyDescent="0.25">
      <c r="A25" t="s">
        <v>103</v>
      </c>
      <c r="B25">
        <v>17</v>
      </c>
      <c r="C25">
        <v>0</v>
      </c>
      <c r="D25" t="str">
        <f t="shared" si="0"/>
        <v>LPA 17:0</v>
      </c>
      <c r="E25" s="1">
        <f>AVERAGE(9.09,9.23)</f>
        <v>9.16</v>
      </c>
      <c r="F25" s="9" t="s">
        <v>112</v>
      </c>
      <c r="G25" t="s">
        <v>104</v>
      </c>
      <c r="I25" t="s">
        <v>126</v>
      </c>
      <c r="J25" s="2">
        <v>1084</v>
      </c>
      <c r="K25" s="1" t="s">
        <v>138</v>
      </c>
      <c r="L25" s="1">
        <v>1024</v>
      </c>
      <c r="N25" s="8"/>
      <c r="P25" s="1"/>
      <c r="T25" s="1"/>
      <c r="U25" s="1"/>
    </row>
    <row r="26" spans="1:22" x14ac:dyDescent="0.25">
      <c r="A26" t="s">
        <v>4</v>
      </c>
      <c r="B26">
        <v>32</v>
      </c>
      <c r="C26">
        <v>1</v>
      </c>
      <c r="D26" t="str">
        <f t="shared" si="0"/>
        <v>PA 32:1</v>
      </c>
      <c r="E26" s="1">
        <v>16.059999999999999</v>
      </c>
      <c r="F26" s="9" t="b">
        <v>0</v>
      </c>
      <c r="K26" s="1"/>
      <c r="L26" s="1"/>
      <c r="N26" s="8"/>
      <c r="P26" s="1"/>
      <c r="T26" s="1"/>
      <c r="U26" s="1"/>
    </row>
    <row r="27" spans="1:22" x14ac:dyDescent="0.25">
      <c r="A27" t="s">
        <v>4</v>
      </c>
      <c r="B27">
        <v>32</v>
      </c>
      <c r="C27">
        <v>2</v>
      </c>
      <c r="D27" t="str">
        <f t="shared" si="0"/>
        <v>PA 32:2</v>
      </c>
      <c r="E27" s="1">
        <f>AVERAGE(15.37,15.39)</f>
        <v>15.379999999999999</v>
      </c>
      <c r="F27" s="9" t="b">
        <v>0</v>
      </c>
      <c r="K27" s="1"/>
      <c r="L27" s="1"/>
      <c r="N27" s="8"/>
      <c r="P27" s="1"/>
      <c r="T27" s="1"/>
      <c r="U27" s="1"/>
    </row>
    <row r="28" spans="1:22" x14ac:dyDescent="0.25">
      <c r="A28" t="s">
        <v>4</v>
      </c>
      <c r="B28">
        <v>33</v>
      </c>
      <c r="C28">
        <v>3</v>
      </c>
      <c r="D28" t="str">
        <f t="shared" si="0"/>
        <v>PA 33:3</v>
      </c>
      <c r="E28" s="1">
        <v>16.25</v>
      </c>
      <c r="F28" s="9" t="b">
        <v>0</v>
      </c>
      <c r="K28" s="1"/>
      <c r="L28" s="1"/>
      <c r="N28" s="8"/>
      <c r="P28" s="1"/>
      <c r="T28" s="1"/>
      <c r="U28" s="1"/>
    </row>
    <row r="29" spans="1:22" x14ac:dyDescent="0.25">
      <c r="A29" t="s">
        <v>4</v>
      </c>
      <c r="B29">
        <v>34</v>
      </c>
      <c r="C29">
        <v>1</v>
      </c>
      <c r="D29" t="s">
        <v>129</v>
      </c>
      <c r="E29" s="1">
        <f>AVERAGE(16.89,16.93)</f>
        <v>16.91</v>
      </c>
      <c r="F29" s="9" t="b">
        <v>0</v>
      </c>
      <c r="I29" t="s">
        <v>123</v>
      </c>
      <c r="J29" s="2">
        <v>1994</v>
      </c>
      <c r="K29" s="1" t="s">
        <v>130</v>
      </c>
      <c r="L29" s="1">
        <v>1876</v>
      </c>
      <c r="N29" s="8"/>
      <c r="P29" s="1"/>
      <c r="T29" s="1"/>
      <c r="U29" s="1"/>
    </row>
    <row r="30" spans="1:22" x14ac:dyDescent="0.25">
      <c r="A30" t="s">
        <v>4</v>
      </c>
      <c r="B30">
        <v>34</v>
      </c>
      <c r="C30">
        <v>2</v>
      </c>
      <c r="D30" t="s">
        <v>15</v>
      </c>
      <c r="E30" s="1">
        <f>AVERAGE(16.27, 16.28, 16.21,16.25)</f>
        <v>16.252499999999998</v>
      </c>
      <c r="F30" s="9" t="b">
        <v>1</v>
      </c>
      <c r="G30" t="s">
        <v>15</v>
      </c>
      <c r="I30" t="s">
        <v>123</v>
      </c>
      <c r="J30" s="2">
        <v>1924</v>
      </c>
      <c r="K30" s="1" t="s">
        <v>131</v>
      </c>
      <c r="L30" s="2">
        <v>1792</v>
      </c>
    </row>
    <row r="31" spans="1:22" x14ac:dyDescent="0.25">
      <c r="A31" t="s">
        <v>4</v>
      </c>
      <c r="B31">
        <v>34</v>
      </c>
      <c r="C31">
        <v>3</v>
      </c>
      <c r="D31" t="s">
        <v>132</v>
      </c>
      <c r="E31" s="1">
        <f>AVERAGE(15.64,15.68)</f>
        <v>15.66</v>
      </c>
      <c r="F31" s="9" t="b">
        <v>0</v>
      </c>
      <c r="I31" t="s">
        <v>122</v>
      </c>
      <c r="J31" s="2">
        <v>1846</v>
      </c>
      <c r="K31" s="1" t="s">
        <v>133</v>
      </c>
      <c r="L31" s="2">
        <v>1744</v>
      </c>
    </row>
    <row r="32" spans="1:22" x14ac:dyDescent="0.25">
      <c r="A32" t="s">
        <v>4</v>
      </c>
      <c r="B32">
        <v>36</v>
      </c>
      <c r="C32">
        <v>1</v>
      </c>
      <c r="D32" t="str">
        <f t="shared" si="0"/>
        <v>PA 36:1</v>
      </c>
      <c r="E32" s="1">
        <v>17.95</v>
      </c>
      <c r="F32" s="9" t="b">
        <v>0</v>
      </c>
      <c r="K32" s="1"/>
    </row>
    <row r="33" spans="1:12" ht="13.9" customHeight="1" x14ac:dyDescent="0.25">
      <c r="A33" t="s">
        <v>4</v>
      </c>
      <c r="B33">
        <v>36</v>
      </c>
      <c r="C33">
        <v>2</v>
      </c>
      <c r="D33" t="s">
        <v>134</v>
      </c>
      <c r="E33" s="1">
        <f>AVERAGE(17.18,17.13)</f>
        <v>17.155000000000001</v>
      </c>
      <c r="F33" s="9" t="b">
        <v>0</v>
      </c>
      <c r="H33" t="s">
        <v>127</v>
      </c>
      <c r="I33" t="s">
        <v>123</v>
      </c>
      <c r="J33" s="2">
        <v>2026</v>
      </c>
      <c r="K33" s="1" t="s">
        <v>135</v>
      </c>
      <c r="L33" s="2">
        <v>1908</v>
      </c>
    </row>
    <row r="34" spans="1:12" x14ac:dyDescent="0.25">
      <c r="A34" t="s">
        <v>4</v>
      </c>
      <c r="B34">
        <v>36</v>
      </c>
      <c r="C34">
        <v>3</v>
      </c>
      <c r="D34" t="s">
        <v>136</v>
      </c>
      <c r="E34" s="1">
        <v>16.329999999999998</v>
      </c>
      <c r="F34" s="9" t="b">
        <v>0</v>
      </c>
      <c r="K34" s="1" t="s">
        <v>137</v>
      </c>
      <c r="L34" s="2">
        <v>1810</v>
      </c>
    </row>
    <row r="35" spans="1:12" x14ac:dyDescent="0.25">
      <c r="A35" t="s">
        <v>4</v>
      </c>
      <c r="B35">
        <v>36</v>
      </c>
      <c r="C35">
        <v>3</v>
      </c>
      <c r="D35" t="s">
        <v>118</v>
      </c>
      <c r="E35" s="1">
        <v>16.57</v>
      </c>
      <c r="F35" s="9" t="b">
        <v>0</v>
      </c>
      <c r="K35" s="1"/>
    </row>
    <row r="36" spans="1:12" x14ac:dyDescent="0.25">
      <c r="A36" t="s">
        <v>4</v>
      </c>
      <c r="B36">
        <v>36</v>
      </c>
      <c r="C36">
        <v>4</v>
      </c>
      <c r="D36" t="s">
        <v>139</v>
      </c>
      <c r="E36" s="1">
        <f>AVERAGE(15.73, 15.73, 15.69)</f>
        <v>15.716666666666667</v>
      </c>
      <c r="F36" s="9" t="b">
        <v>1</v>
      </c>
      <c r="G36" t="s">
        <v>40</v>
      </c>
      <c r="I36" t="s">
        <v>126</v>
      </c>
      <c r="J36" s="2">
        <v>1842</v>
      </c>
      <c r="K36" s="1" t="s">
        <v>138</v>
      </c>
      <c r="L36" s="2">
        <v>1738</v>
      </c>
    </row>
    <row r="37" spans="1:12" x14ac:dyDescent="0.25">
      <c r="A37" t="s">
        <v>4</v>
      </c>
      <c r="B37">
        <v>36</v>
      </c>
      <c r="C37">
        <v>5</v>
      </c>
      <c r="D37" t="s">
        <v>140</v>
      </c>
      <c r="E37" s="1">
        <f>AVERAGE(15.11,15.15)</f>
        <v>15.129999999999999</v>
      </c>
      <c r="F37" s="9" t="b">
        <v>0</v>
      </c>
      <c r="I37" t="s">
        <v>125</v>
      </c>
      <c r="J37" s="2">
        <v>1784</v>
      </c>
      <c r="K37" s="1" t="s">
        <v>141</v>
      </c>
      <c r="L37" s="2">
        <v>1668</v>
      </c>
    </row>
    <row r="38" spans="1:12" x14ac:dyDescent="0.25">
      <c r="A38" t="s">
        <v>4</v>
      </c>
      <c r="B38">
        <v>36</v>
      </c>
      <c r="C38">
        <v>6</v>
      </c>
      <c r="D38" t="s">
        <v>142</v>
      </c>
      <c r="E38" s="1">
        <f>AVERAGE(14.53,14.61)</f>
        <v>14.57</v>
      </c>
      <c r="F38" s="9" t="b">
        <v>0</v>
      </c>
      <c r="I38" t="s">
        <v>124</v>
      </c>
      <c r="J38" s="2">
        <v>1706</v>
      </c>
      <c r="K38" s="1" t="s">
        <v>143</v>
      </c>
      <c r="L38" s="2">
        <v>1610</v>
      </c>
    </row>
    <row r="39" spans="1:12" x14ac:dyDescent="0.25">
      <c r="A39" t="s">
        <v>4</v>
      </c>
      <c r="B39">
        <v>38</v>
      </c>
      <c r="C39">
        <v>2</v>
      </c>
      <c r="D39" t="str">
        <f t="shared" si="0"/>
        <v>PA 38:2</v>
      </c>
      <c r="E39" s="1">
        <f>AVERAGE(17.95,18.04)</f>
        <v>17.994999999999997</v>
      </c>
      <c r="F39" s="9" t="b">
        <v>0</v>
      </c>
      <c r="K39" s="1"/>
    </row>
    <row r="40" spans="1:12" x14ac:dyDescent="0.25">
      <c r="A40" t="s">
        <v>4</v>
      </c>
      <c r="B40">
        <v>40</v>
      </c>
      <c r="C40">
        <v>2</v>
      </c>
      <c r="D40" t="s">
        <v>144</v>
      </c>
      <c r="E40" s="1">
        <f>AVERAGE(18.63,18.63)</f>
        <v>18.63</v>
      </c>
      <c r="F40" s="9" t="b">
        <v>0</v>
      </c>
      <c r="K40" s="1" t="s">
        <v>145</v>
      </c>
      <c r="L40" s="2">
        <v>2078</v>
      </c>
    </row>
    <row r="41" spans="1:12" x14ac:dyDescent="0.25">
      <c r="A41" t="s">
        <v>4</v>
      </c>
      <c r="B41">
        <v>42</v>
      </c>
      <c r="C41">
        <v>2</v>
      </c>
      <c r="D41" t="str">
        <f t="shared" si="0"/>
        <v>PA 42:2</v>
      </c>
      <c r="E41" s="1">
        <f>AVERAGE(19.22,19.23)</f>
        <v>19.225000000000001</v>
      </c>
      <c r="F41" s="9" t="b">
        <v>0</v>
      </c>
      <c r="K41" s="1"/>
    </row>
    <row r="42" spans="1:12" x14ac:dyDescent="0.25">
      <c r="A42" t="s">
        <v>22</v>
      </c>
      <c r="B42">
        <v>16</v>
      </c>
      <c r="C42">
        <v>0</v>
      </c>
      <c r="D42" t="str">
        <f t="shared" si="0"/>
        <v>LPC 16:0</v>
      </c>
      <c r="E42" s="1">
        <f>AVERAGE(7.99, 8.03)</f>
        <v>8.01</v>
      </c>
      <c r="F42" s="9" t="b">
        <v>1</v>
      </c>
      <c r="G42" t="s">
        <v>48</v>
      </c>
      <c r="K42" s="1" t="s">
        <v>131</v>
      </c>
      <c r="L42" s="2">
        <v>890</v>
      </c>
    </row>
    <row r="43" spans="1:12" x14ac:dyDescent="0.25">
      <c r="A43" t="s">
        <v>22</v>
      </c>
      <c r="B43">
        <v>18</v>
      </c>
      <c r="C43">
        <v>0</v>
      </c>
      <c r="D43" t="str">
        <f t="shared" si="0"/>
        <v>LPC 18:0</v>
      </c>
      <c r="E43" s="1">
        <f>AVERAGE(10.23,10.28)</f>
        <v>10.254999999999999</v>
      </c>
      <c r="F43" s="9" t="b">
        <v>1</v>
      </c>
      <c r="G43" t="s">
        <v>49</v>
      </c>
    </row>
    <row r="44" spans="1:12" x14ac:dyDescent="0.25">
      <c r="A44" t="s">
        <v>22</v>
      </c>
      <c r="B44">
        <v>18</v>
      </c>
      <c r="C44">
        <v>1</v>
      </c>
      <c r="D44" t="str">
        <f t="shared" si="0"/>
        <v>LPC 18:1</v>
      </c>
      <c r="E44" s="1">
        <f>AVERAGE(8.53,8.56)</f>
        <v>8.5449999999999999</v>
      </c>
      <c r="F44" s="9" t="b">
        <v>1</v>
      </c>
      <c r="G44" t="s">
        <v>50</v>
      </c>
    </row>
    <row r="45" spans="1:12" x14ac:dyDescent="0.25">
      <c r="A45" t="s">
        <v>22</v>
      </c>
      <c r="B45">
        <v>18</v>
      </c>
      <c r="C45">
        <v>2</v>
      </c>
      <c r="D45" t="str">
        <f t="shared" si="0"/>
        <v>LPC 18:2</v>
      </c>
      <c r="E45" s="1">
        <f>AVERAGE(6.98,7)</f>
        <v>6.99</v>
      </c>
      <c r="F45" s="9" t="b">
        <v>1</v>
      </c>
      <c r="G45" t="s">
        <v>51</v>
      </c>
      <c r="K45" t="s">
        <v>168</v>
      </c>
      <c r="L45" s="2">
        <v>776</v>
      </c>
    </row>
    <row r="46" spans="1:12" x14ac:dyDescent="0.25">
      <c r="A46" t="s">
        <v>22</v>
      </c>
      <c r="B46">
        <v>18</v>
      </c>
      <c r="C46">
        <v>3</v>
      </c>
      <c r="D46" t="str">
        <f t="shared" si="0"/>
        <v>LPC 18:3</v>
      </c>
      <c r="E46" s="1">
        <f>AVERAGE(5.57,5.61)</f>
        <v>5.59</v>
      </c>
      <c r="F46" s="9" t="b">
        <v>1</v>
      </c>
      <c r="G46" t="s">
        <v>57</v>
      </c>
    </row>
    <row r="47" spans="1:12" x14ac:dyDescent="0.25">
      <c r="A47" t="s">
        <v>9</v>
      </c>
      <c r="B47">
        <v>32</v>
      </c>
      <c r="C47">
        <v>0</v>
      </c>
      <c r="D47" t="str">
        <f t="shared" si="0"/>
        <v>PC 32:0</v>
      </c>
      <c r="E47" s="1">
        <f>AVERAGE(16.92,17)</f>
        <v>16.96</v>
      </c>
      <c r="F47" s="9" t="b">
        <v>0</v>
      </c>
      <c r="K47" t="s">
        <v>137</v>
      </c>
      <c r="L47" s="2">
        <v>1876</v>
      </c>
    </row>
    <row r="48" spans="1:12" x14ac:dyDescent="0.25">
      <c r="A48" t="s">
        <v>9</v>
      </c>
      <c r="B48">
        <v>32</v>
      </c>
      <c r="C48">
        <v>1</v>
      </c>
      <c r="D48" t="str">
        <f t="shared" si="0"/>
        <v>PC 32:1</v>
      </c>
      <c r="E48" s="6">
        <v>16.309999999999999</v>
      </c>
      <c r="F48" s="9" t="b">
        <v>0</v>
      </c>
    </row>
    <row r="49" spans="1:12" x14ac:dyDescent="0.25">
      <c r="A49" t="s">
        <v>9</v>
      </c>
      <c r="B49">
        <v>32</v>
      </c>
      <c r="C49">
        <v>2</v>
      </c>
      <c r="D49" t="str">
        <f t="shared" si="0"/>
        <v>PC 32:2</v>
      </c>
      <c r="E49" s="6">
        <f>AVERAGE(15.53,15.64)</f>
        <v>15.585000000000001</v>
      </c>
      <c r="F49" s="9" t="b">
        <v>0</v>
      </c>
    </row>
    <row r="50" spans="1:12" x14ac:dyDescent="0.25">
      <c r="A50" t="s">
        <v>9</v>
      </c>
      <c r="B50">
        <v>32</v>
      </c>
      <c r="C50">
        <v>3</v>
      </c>
      <c r="D50" t="str">
        <f t="shared" si="0"/>
        <v>PC 32:3</v>
      </c>
      <c r="E50" s="6">
        <v>15.01</v>
      </c>
      <c r="F50" s="9" t="b">
        <v>0</v>
      </c>
    </row>
    <row r="51" spans="1:12" x14ac:dyDescent="0.25">
      <c r="A51" t="s">
        <v>9</v>
      </c>
      <c r="B51">
        <v>33</v>
      </c>
      <c r="C51">
        <v>2</v>
      </c>
      <c r="D51" t="str">
        <f t="shared" si="0"/>
        <v>PC 33:2</v>
      </c>
      <c r="E51" s="6">
        <f>AVERAGE(16.02,16.11)</f>
        <v>16.064999999999998</v>
      </c>
      <c r="F51" s="9" t="b">
        <v>0</v>
      </c>
    </row>
    <row r="52" spans="1:12" x14ac:dyDescent="0.25">
      <c r="A52" t="s">
        <v>9</v>
      </c>
      <c r="B52">
        <v>33</v>
      </c>
      <c r="C52">
        <v>3</v>
      </c>
      <c r="D52" t="str">
        <f t="shared" si="0"/>
        <v>PC 33:3</v>
      </c>
      <c r="E52" s="6">
        <f>AVERAGE(15.45,15.52)</f>
        <v>15.484999999999999</v>
      </c>
      <c r="F52" s="9" t="b">
        <v>0</v>
      </c>
    </row>
    <row r="53" spans="1:12" x14ac:dyDescent="0.25">
      <c r="A53" t="s">
        <v>9</v>
      </c>
      <c r="B53">
        <v>34</v>
      </c>
      <c r="C53">
        <v>0</v>
      </c>
      <c r="D53" t="str">
        <f t="shared" si="0"/>
        <v>PC 34:0</v>
      </c>
      <c r="E53" s="6">
        <v>17.739999999999998</v>
      </c>
      <c r="F53" s="9" t="b">
        <v>0</v>
      </c>
    </row>
    <row r="54" spans="1:12" x14ac:dyDescent="0.25">
      <c r="A54" t="s">
        <v>9</v>
      </c>
      <c r="B54">
        <v>34</v>
      </c>
      <c r="C54">
        <v>1</v>
      </c>
      <c r="D54" t="str">
        <f t="shared" si="0"/>
        <v>PC 34:1</v>
      </c>
      <c r="E54" s="1">
        <f>AVERAGE(17.04,17.11)</f>
        <v>17.074999999999999</v>
      </c>
      <c r="F54" s="9" t="b">
        <v>0</v>
      </c>
      <c r="K54" t="s">
        <v>141</v>
      </c>
      <c r="L54" s="2">
        <v>1886</v>
      </c>
    </row>
    <row r="55" spans="1:12" x14ac:dyDescent="0.25">
      <c r="A55" t="s">
        <v>9</v>
      </c>
      <c r="B55">
        <v>34</v>
      </c>
      <c r="C55">
        <v>2</v>
      </c>
      <c r="D55" t="str">
        <f t="shared" si="0"/>
        <v>PC 34:2</v>
      </c>
      <c r="E55" s="4">
        <f>AVERAGE(16.48,16.48,16.45,16.53)</f>
        <v>16.484999999999999</v>
      </c>
      <c r="F55" s="9" t="b">
        <v>1</v>
      </c>
      <c r="G55" t="s">
        <v>8</v>
      </c>
      <c r="K55" s="1" t="s">
        <v>170</v>
      </c>
      <c r="L55" s="2">
        <v>1818</v>
      </c>
    </row>
    <row r="56" spans="1:12" x14ac:dyDescent="0.25">
      <c r="A56" t="s">
        <v>9</v>
      </c>
      <c r="B56">
        <v>34</v>
      </c>
      <c r="C56">
        <v>3</v>
      </c>
      <c r="D56" t="str">
        <f t="shared" si="0"/>
        <v>PC 34:3</v>
      </c>
      <c r="E56" s="1">
        <f>AVERAGE(15.87,15.78)</f>
        <v>15.824999999999999</v>
      </c>
      <c r="F56" s="9" t="b">
        <v>0</v>
      </c>
      <c r="K56" s="1" t="s">
        <v>169</v>
      </c>
      <c r="L56" s="2">
        <v>1768</v>
      </c>
    </row>
    <row r="57" spans="1:12" x14ac:dyDescent="0.25">
      <c r="A57" t="s">
        <v>9</v>
      </c>
      <c r="B57">
        <v>34</v>
      </c>
      <c r="C57">
        <v>4</v>
      </c>
      <c r="D57" t="str">
        <f t="shared" si="0"/>
        <v>PC 34:4</v>
      </c>
      <c r="E57" s="1">
        <v>15.18</v>
      </c>
      <c r="F57" s="9" t="b">
        <v>0</v>
      </c>
      <c r="K57" s="1"/>
    </row>
    <row r="58" spans="1:12" x14ac:dyDescent="0.25">
      <c r="A58" t="s">
        <v>9</v>
      </c>
      <c r="B58">
        <v>35</v>
      </c>
      <c r="C58">
        <v>1</v>
      </c>
      <c r="D58" t="str">
        <f t="shared" si="0"/>
        <v>PC 35:1</v>
      </c>
      <c r="E58" s="6">
        <v>17.489999999999998</v>
      </c>
      <c r="F58" s="9" t="b">
        <v>0</v>
      </c>
      <c r="K58" s="1"/>
    </row>
    <row r="59" spans="1:12" x14ac:dyDescent="0.25">
      <c r="A59" t="s">
        <v>9</v>
      </c>
      <c r="B59">
        <v>35</v>
      </c>
      <c r="C59">
        <v>2</v>
      </c>
      <c r="D59" t="str">
        <f t="shared" si="0"/>
        <v>PC 35:2</v>
      </c>
      <c r="E59" s="1">
        <f>AVERAGE(16.86,16.93)</f>
        <v>16.895</v>
      </c>
      <c r="F59" s="9" t="b">
        <v>0</v>
      </c>
      <c r="K59" s="1" t="s">
        <v>155</v>
      </c>
      <c r="L59" s="2">
        <v>1878</v>
      </c>
    </row>
    <row r="60" spans="1:12" x14ac:dyDescent="0.25">
      <c r="A60" t="s">
        <v>9</v>
      </c>
      <c r="B60">
        <v>35</v>
      </c>
      <c r="C60">
        <v>3</v>
      </c>
      <c r="D60" t="str">
        <f t="shared" si="0"/>
        <v>PC 35:3</v>
      </c>
      <c r="E60" s="6">
        <v>16.43</v>
      </c>
      <c r="F60" s="9" t="b">
        <v>0</v>
      </c>
      <c r="K60" s="1"/>
    </row>
    <row r="61" spans="1:12" x14ac:dyDescent="0.25">
      <c r="A61" t="s">
        <v>9</v>
      </c>
      <c r="B61">
        <v>35</v>
      </c>
      <c r="C61">
        <v>4</v>
      </c>
      <c r="D61" t="str">
        <f t="shared" si="0"/>
        <v>PC 35:4</v>
      </c>
      <c r="E61" s="6">
        <v>15.62</v>
      </c>
      <c r="F61" s="9" t="b">
        <v>0</v>
      </c>
      <c r="K61" s="1"/>
    </row>
    <row r="62" spans="1:12" x14ac:dyDescent="0.25">
      <c r="A62" t="s">
        <v>9</v>
      </c>
      <c r="B62">
        <v>35</v>
      </c>
      <c r="C62">
        <v>5</v>
      </c>
      <c r="D62" t="str">
        <f t="shared" si="0"/>
        <v>PC 35:5</v>
      </c>
      <c r="E62" s="6">
        <v>14.99</v>
      </c>
      <c r="F62" s="9" t="b">
        <v>0</v>
      </c>
      <c r="K62" s="1"/>
    </row>
    <row r="63" spans="1:12" x14ac:dyDescent="0.25">
      <c r="A63" t="s">
        <v>9</v>
      </c>
      <c r="B63">
        <v>36</v>
      </c>
      <c r="C63">
        <v>1</v>
      </c>
      <c r="D63" t="s">
        <v>171</v>
      </c>
      <c r="E63" s="1">
        <f>AVERAGE(17.77,17.84)</f>
        <v>17.805</v>
      </c>
      <c r="F63" s="9" t="b">
        <v>0</v>
      </c>
      <c r="I63" t="s">
        <v>152</v>
      </c>
      <c r="J63" s="2">
        <v>2116</v>
      </c>
      <c r="K63" s="1" t="s">
        <v>168</v>
      </c>
      <c r="L63" s="2">
        <v>1964</v>
      </c>
    </row>
    <row r="64" spans="1:12" x14ac:dyDescent="0.25">
      <c r="A64" t="s">
        <v>9</v>
      </c>
      <c r="B64">
        <v>36</v>
      </c>
      <c r="C64">
        <v>2</v>
      </c>
      <c r="D64" t="s">
        <v>35</v>
      </c>
      <c r="E64" s="1">
        <f>AVERAGE(17.27,17.28,17.24,17.32)</f>
        <v>17.277499999999996</v>
      </c>
      <c r="F64" s="9" t="b">
        <v>1</v>
      </c>
      <c r="G64" t="s">
        <v>35</v>
      </c>
      <c r="I64" t="s">
        <v>147</v>
      </c>
      <c r="J64" s="2">
        <v>2040</v>
      </c>
      <c r="K64" s="1" t="s">
        <v>169</v>
      </c>
      <c r="L64" s="2">
        <v>1912</v>
      </c>
    </row>
    <row r="65" spans="1:12" x14ac:dyDescent="0.25">
      <c r="A65" t="s">
        <v>9</v>
      </c>
      <c r="B65">
        <v>36</v>
      </c>
      <c r="C65">
        <v>3</v>
      </c>
      <c r="D65" t="s">
        <v>18</v>
      </c>
      <c r="E65" s="1">
        <f>AVERAGE(16.55,16.63)</f>
        <v>16.59</v>
      </c>
      <c r="F65" s="9" t="b">
        <v>0</v>
      </c>
      <c r="K65" s="1" t="s">
        <v>155</v>
      </c>
      <c r="L65" s="2">
        <v>1840</v>
      </c>
    </row>
    <row r="66" spans="1:12" x14ac:dyDescent="0.25">
      <c r="A66" t="s">
        <v>9</v>
      </c>
      <c r="B66">
        <v>36</v>
      </c>
      <c r="C66">
        <v>3</v>
      </c>
      <c r="D66" t="s">
        <v>19</v>
      </c>
      <c r="E66" s="1">
        <f>AVERAGE(16.75,16.82)</f>
        <v>16.785</v>
      </c>
      <c r="F66" s="9" t="b">
        <v>0</v>
      </c>
      <c r="K66" s="1" t="s">
        <v>145</v>
      </c>
      <c r="L66" s="2">
        <v>1868</v>
      </c>
    </row>
    <row r="67" spans="1:12" x14ac:dyDescent="0.25">
      <c r="A67" t="s">
        <v>9</v>
      </c>
      <c r="B67">
        <v>36</v>
      </c>
      <c r="C67">
        <v>4</v>
      </c>
      <c r="D67" t="s">
        <v>173</v>
      </c>
      <c r="E67" s="1">
        <f>AVERAGE(15.95,15.96,15.92,16.02)</f>
        <v>15.962499999999999</v>
      </c>
      <c r="F67" s="9" t="b">
        <v>1</v>
      </c>
      <c r="G67" t="s">
        <v>39</v>
      </c>
      <c r="I67" t="s">
        <v>172</v>
      </c>
      <c r="J67" s="2">
        <v>1886</v>
      </c>
      <c r="K67" s="1" t="s">
        <v>137</v>
      </c>
      <c r="L67" s="2">
        <v>1762</v>
      </c>
    </row>
    <row r="68" spans="1:12" x14ac:dyDescent="0.25">
      <c r="A68" t="s">
        <v>9</v>
      </c>
      <c r="B68">
        <v>36</v>
      </c>
      <c r="C68">
        <v>5</v>
      </c>
      <c r="D68" t="s">
        <v>36</v>
      </c>
      <c r="E68" s="1">
        <f>AVERAGE(15.36,15.36,15.32,15.43)</f>
        <v>15.3675</v>
      </c>
      <c r="F68" s="9" t="b">
        <v>1</v>
      </c>
      <c r="G68" t="s">
        <v>36</v>
      </c>
      <c r="I68" t="s">
        <v>174</v>
      </c>
      <c r="J68" s="2">
        <v>1822</v>
      </c>
      <c r="K68" s="1" t="s">
        <v>157</v>
      </c>
      <c r="L68" s="2">
        <v>1706</v>
      </c>
    </row>
    <row r="69" spans="1:12" x14ac:dyDescent="0.25">
      <c r="A69" t="s">
        <v>9</v>
      </c>
      <c r="B69">
        <v>36</v>
      </c>
      <c r="C69">
        <v>6</v>
      </c>
      <c r="D69" t="s">
        <v>175</v>
      </c>
      <c r="E69" s="1">
        <f>AVERAGE(14.68,14.8)</f>
        <v>14.74</v>
      </c>
      <c r="F69" s="9" t="b">
        <v>0</v>
      </c>
      <c r="I69" t="s">
        <v>147</v>
      </c>
      <c r="J69" s="2">
        <v>1750</v>
      </c>
      <c r="K69" s="1" t="s">
        <v>169</v>
      </c>
      <c r="L69" s="2">
        <v>1632</v>
      </c>
    </row>
    <row r="70" spans="1:12" x14ac:dyDescent="0.25">
      <c r="A70" t="s">
        <v>9</v>
      </c>
      <c r="B70">
        <v>38</v>
      </c>
      <c r="C70">
        <v>2</v>
      </c>
      <c r="D70" t="str">
        <f t="shared" si="0"/>
        <v>PC 38:2</v>
      </c>
      <c r="E70" s="6">
        <v>18</v>
      </c>
      <c r="F70" s="9" t="b">
        <v>0</v>
      </c>
      <c r="K70" s="1" t="s">
        <v>133</v>
      </c>
      <c r="L70" s="2">
        <v>2002</v>
      </c>
    </row>
    <row r="71" spans="1:12" x14ac:dyDescent="0.25">
      <c r="A71" t="s">
        <v>9</v>
      </c>
      <c r="B71">
        <v>38</v>
      </c>
      <c r="C71">
        <v>3</v>
      </c>
      <c r="D71" t="str">
        <f t="shared" si="0"/>
        <v>PC 38:3</v>
      </c>
      <c r="E71" s="6">
        <f>AVERAGE(17.29,17.36)</f>
        <v>17.324999999999999</v>
      </c>
      <c r="F71" s="9" t="b">
        <v>0</v>
      </c>
      <c r="K71" s="1"/>
    </row>
    <row r="72" spans="1:12" x14ac:dyDescent="0.25">
      <c r="A72" t="s">
        <v>182</v>
      </c>
      <c r="B72">
        <v>16</v>
      </c>
      <c r="C72">
        <v>0</v>
      </c>
      <c r="D72" t="s">
        <v>183</v>
      </c>
      <c r="E72" s="6">
        <f>AVERAGE(8.19,8.49)</f>
        <v>8.34</v>
      </c>
      <c r="I72" t="s">
        <v>152</v>
      </c>
      <c r="J72" s="2">
        <v>1010</v>
      </c>
      <c r="K72" s="1" t="s">
        <v>145</v>
      </c>
      <c r="L72" s="2">
        <v>914</v>
      </c>
    </row>
    <row r="73" spans="1:12" x14ac:dyDescent="0.25">
      <c r="A73" t="s">
        <v>23</v>
      </c>
      <c r="B73">
        <v>32</v>
      </c>
      <c r="C73">
        <v>2</v>
      </c>
      <c r="D73" t="str">
        <f t="shared" si="0"/>
        <v>PE 32:2</v>
      </c>
      <c r="E73" s="6">
        <v>15.88</v>
      </c>
      <c r="F73" s="9" t="b">
        <v>0</v>
      </c>
      <c r="I73" t="s">
        <v>146</v>
      </c>
      <c r="J73" s="2">
        <v>1860</v>
      </c>
      <c r="K73" s="1"/>
    </row>
    <row r="74" spans="1:12" x14ac:dyDescent="0.25">
      <c r="A74" t="s">
        <v>23</v>
      </c>
      <c r="B74">
        <v>34</v>
      </c>
      <c r="C74">
        <v>1</v>
      </c>
      <c r="D74" t="s">
        <v>154</v>
      </c>
      <c r="E74" s="1">
        <f>AVERAGE(17.26,17.32)</f>
        <v>17.29</v>
      </c>
      <c r="F74" s="9" t="b">
        <v>0</v>
      </c>
      <c r="H74" t="s">
        <v>128</v>
      </c>
      <c r="I74" t="s">
        <v>149</v>
      </c>
      <c r="J74" s="2">
        <v>2050</v>
      </c>
      <c r="K74" s="1" t="s">
        <v>138</v>
      </c>
      <c r="L74" s="2">
        <v>1918</v>
      </c>
    </row>
    <row r="75" spans="1:12" x14ac:dyDescent="0.25">
      <c r="A75" t="s">
        <v>23</v>
      </c>
      <c r="B75">
        <v>34</v>
      </c>
      <c r="C75">
        <v>2</v>
      </c>
      <c r="D75" t="s">
        <v>26</v>
      </c>
      <c r="E75" s="1">
        <f>AVERAGE(16.72,16.72,16.67,16.75)</f>
        <v>16.715</v>
      </c>
      <c r="F75" s="9" t="b">
        <v>1</v>
      </c>
      <c r="G75" t="s">
        <v>26</v>
      </c>
      <c r="I75" t="s">
        <v>149</v>
      </c>
      <c r="J75" s="2">
        <v>1984</v>
      </c>
      <c r="K75" t="s">
        <v>155</v>
      </c>
      <c r="L75" s="2">
        <v>1852</v>
      </c>
    </row>
    <row r="76" spans="1:12" x14ac:dyDescent="0.25">
      <c r="A76" t="s">
        <v>23</v>
      </c>
      <c r="B76">
        <v>34</v>
      </c>
      <c r="C76">
        <v>3</v>
      </c>
      <c r="D76" t="s">
        <v>30</v>
      </c>
      <c r="E76" s="1">
        <f>AVERAGE(16.13,16.16,16.11,16.2)</f>
        <v>16.149999999999999</v>
      </c>
      <c r="F76" s="9" t="b">
        <v>1</v>
      </c>
      <c r="G76" t="s">
        <v>30</v>
      </c>
      <c r="I76" t="s">
        <v>148</v>
      </c>
      <c r="J76" s="2">
        <v>1916</v>
      </c>
      <c r="K76" t="s">
        <v>137</v>
      </c>
      <c r="L76" s="2">
        <v>1788</v>
      </c>
    </row>
    <row r="77" spans="1:12" x14ac:dyDescent="0.25">
      <c r="A77" t="s">
        <v>23</v>
      </c>
      <c r="B77">
        <v>36</v>
      </c>
      <c r="C77">
        <v>2</v>
      </c>
      <c r="D77" t="s">
        <v>156</v>
      </c>
      <c r="E77" s="1">
        <f>AVERAGE(17.49,17.5,17.45,17.52)</f>
        <v>17.489999999999998</v>
      </c>
      <c r="F77" s="9" t="b">
        <v>1</v>
      </c>
      <c r="G77" t="s">
        <v>41</v>
      </c>
      <c r="I77" t="s">
        <v>152</v>
      </c>
      <c r="J77" s="2">
        <v>2082</v>
      </c>
      <c r="K77" s="1" t="s">
        <v>143</v>
      </c>
      <c r="L77" s="2">
        <v>1934</v>
      </c>
    </row>
    <row r="78" spans="1:12" x14ac:dyDescent="0.25">
      <c r="A78" t="s">
        <v>23</v>
      </c>
      <c r="B78">
        <v>36</v>
      </c>
      <c r="C78">
        <v>3</v>
      </c>
      <c r="D78" t="s">
        <v>29</v>
      </c>
      <c r="E78" s="1">
        <f>AVERAGE(16.81,16.8,16.77,16.84)</f>
        <v>16.805</v>
      </c>
      <c r="F78" s="9" t="b">
        <v>1</v>
      </c>
      <c r="G78" t="s">
        <v>29</v>
      </c>
      <c r="I78" t="s">
        <v>151</v>
      </c>
      <c r="J78" s="2">
        <v>2000</v>
      </c>
      <c r="K78" s="1" t="s">
        <v>157</v>
      </c>
      <c r="L78" s="2">
        <v>1862</v>
      </c>
    </row>
    <row r="79" spans="1:12" x14ac:dyDescent="0.25">
      <c r="A79" t="s">
        <v>23</v>
      </c>
      <c r="B79">
        <v>36</v>
      </c>
      <c r="C79">
        <v>3</v>
      </c>
      <c r="D79" t="s">
        <v>158</v>
      </c>
      <c r="E79" s="1">
        <f>AVERAGE(16.95,17.03)</f>
        <v>16.990000000000002</v>
      </c>
      <c r="F79" s="9" t="b">
        <v>0</v>
      </c>
      <c r="I79" t="s">
        <v>150</v>
      </c>
      <c r="J79" s="2">
        <v>1998</v>
      </c>
      <c r="K79" s="1" t="s">
        <v>159</v>
      </c>
      <c r="L79" s="2">
        <v>1888</v>
      </c>
    </row>
    <row r="80" spans="1:12" x14ac:dyDescent="0.25">
      <c r="A80" t="s">
        <v>23</v>
      </c>
      <c r="B80">
        <v>36</v>
      </c>
      <c r="C80">
        <v>4</v>
      </c>
      <c r="D80" t="s">
        <v>160</v>
      </c>
      <c r="E80" s="1">
        <f>AVERAGE(16.18,16.19,16.15,16.25)</f>
        <v>16.192500000000003</v>
      </c>
      <c r="F80" s="9" t="b">
        <v>1</v>
      </c>
      <c r="G80" t="s">
        <v>42</v>
      </c>
      <c r="I80" t="s">
        <v>147</v>
      </c>
      <c r="J80" s="2">
        <v>1922</v>
      </c>
      <c r="K80" s="1" t="s">
        <v>131</v>
      </c>
      <c r="L80" s="2">
        <v>1788</v>
      </c>
    </row>
    <row r="81" spans="1:21" x14ac:dyDescent="0.25">
      <c r="A81" t="s">
        <v>23</v>
      </c>
      <c r="B81">
        <v>36</v>
      </c>
      <c r="C81">
        <v>5</v>
      </c>
      <c r="D81" t="s">
        <v>28</v>
      </c>
      <c r="E81" s="1">
        <f>AVERAGE(15.57,15.6,15.55,15.66)</f>
        <v>15.594999999999999</v>
      </c>
      <c r="F81" s="9" t="b">
        <v>1</v>
      </c>
      <c r="G81" t="s">
        <v>28</v>
      </c>
      <c r="I81" t="s">
        <v>150</v>
      </c>
      <c r="J81" s="2">
        <v>1834</v>
      </c>
      <c r="K81" s="1" t="s">
        <v>133</v>
      </c>
      <c r="L81" s="2">
        <v>1732</v>
      </c>
    </row>
    <row r="82" spans="1:21" x14ac:dyDescent="0.25">
      <c r="A82" t="s">
        <v>23</v>
      </c>
      <c r="B82">
        <v>36</v>
      </c>
      <c r="C82">
        <v>6</v>
      </c>
      <c r="D82" t="s">
        <v>161</v>
      </c>
      <c r="E82" s="1">
        <f>AVERAGE(14.93,15.04)</f>
        <v>14.984999999999999</v>
      </c>
      <c r="F82" s="9" t="b">
        <v>0</v>
      </c>
      <c r="I82" t="s">
        <v>126</v>
      </c>
      <c r="J82" s="2">
        <v>1764</v>
      </c>
      <c r="K82" s="1" t="s">
        <v>137</v>
      </c>
      <c r="L82" s="2">
        <v>1656</v>
      </c>
    </row>
    <row r="83" spans="1:21" x14ac:dyDescent="0.25">
      <c r="A83" t="s">
        <v>23</v>
      </c>
      <c r="B83">
        <v>38</v>
      </c>
      <c r="C83">
        <v>2</v>
      </c>
      <c r="D83" t="s">
        <v>162</v>
      </c>
      <c r="E83" s="1">
        <f>AVERAGE(18.15,18.21)</f>
        <v>18.18</v>
      </c>
      <c r="F83" s="9" t="b">
        <v>0</v>
      </c>
      <c r="I83" t="s">
        <v>147</v>
      </c>
      <c r="J83" s="2">
        <v>2160</v>
      </c>
      <c r="K83" s="1" t="s">
        <v>135</v>
      </c>
      <c r="L83" s="2">
        <v>2012</v>
      </c>
    </row>
    <row r="84" spans="1:21" x14ac:dyDescent="0.25">
      <c r="A84" t="s">
        <v>23</v>
      </c>
      <c r="B84">
        <v>40</v>
      </c>
      <c r="C84">
        <v>2</v>
      </c>
      <c r="D84" t="s">
        <v>163</v>
      </c>
      <c r="E84" s="1">
        <f>AVERAGE(18.77,18.82)</f>
        <v>18.795000000000002</v>
      </c>
      <c r="F84" s="9" t="b">
        <v>0</v>
      </c>
      <c r="I84" t="s">
        <v>149</v>
      </c>
      <c r="J84" s="2">
        <v>2228</v>
      </c>
      <c r="K84" s="1" t="s">
        <v>155</v>
      </c>
      <c r="L84" s="2">
        <v>2090</v>
      </c>
    </row>
    <row r="85" spans="1:21" x14ac:dyDescent="0.25">
      <c r="A85" t="s">
        <v>23</v>
      </c>
      <c r="B85">
        <v>40</v>
      </c>
      <c r="C85">
        <v>3</v>
      </c>
      <c r="D85" t="s">
        <v>164</v>
      </c>
      <c r="E85" s="1">
        <v>18.41</v>
      </c>
      <c r="F85" s="9" t="b">
        <v>0</v>
      </c>
      <c r="I85" t="s">
        <v>125</v>
      </c>
      <c r="J85" s="2">
        <v>2184</v>
      </c>
      <c r="K85" s="1" t="s">
        <v>131</v>
      </c>
      <c r="L85" s="2">
        <v>2036</v>
      </c>
    </row>
    <row r="86" spans="1:21" x14ac:dyDescent="0.25">
      <c r="A86" t="s">
        <v>23</v>
      </c>
      <c r="B86">
        <v>41</v>
      </c>
      <c r="C86">
        <v>2</v>
      </c>
      <c r="D86" t="s">
        <v>165</v>
      </c>
      <c r="E86" s="1">
        <f>AVERAGE(19.06,19.11)</f>
        <v>19.085000000000001</v>
      </c>
      <c r="F86" s="9" t="b">
        <v>0</v>
      </c>
      <c r="K86" s="1" t="s">
        <v>145</v>
      </c>
      <c r="L86" s="2">
        <v>2128</v>
      </c>
    </row>
    <row r="87" spans="1:21" x14ac:dyDescent="0.25">
      <c r="A87" t="s">
        <v>23</v>
      </c>
      <c r="B87">
        <v>42</v>
      </c>
      <c r="C87">
        <v>2</v>
      </c>
      <c r="D87" t="s">
        <v>166</v>
      </c>
      <c r="E87" s="1">
        <f>AVERAGE(19.33,19.38)</f>
        <v>19.354999999999997</v>
      </c>
      <c r="F87" s="9" t="b">
        <v>0</v>
      </c>
      <c r="I87" t="s">
        <v>153</v>
      </c>
      <c r="J87" s="2">
        <v>2286</v>
      </c>
      <c r="K87" s="1" t="s">
        <v>159</v>
      </c>
      <c r="L87" s="2">
        <v>2150</v>
      </c>
    </row>
    <row r="88" spans="1:21" x14ac:dyDescent="0.25">
      <c r="A88" t="s">
        <v>23</v>
      </c>
      <c r="B88">
        <v>43</v>
      </c>
      <c r="C88">
        <v>2</v>
      </c>
      <c r="D88" t="s">
        <v>167</v>
      </c>
      <c r="E88" s="1">
        <v>19.64</v>
      </c>
      <c r="F88" s="9" t="b">
        <v>0</v>
      </c>
      <c r="I88" t="s">
        <v>125</v>
      </c>
      <c r="J88" s="2">
        <v>2326</v>
      </c>
      <c r="K88" s="1" t="s">
        <v>168</v>
      </c>
      <c r="L88" s="2">
        <v>2166</v>
      </c>
    </row>
    <row r="89" spans="1:21" x14ac:dyDescent="0.25">
      <c r="A89" t="s">
        <v>105</v>
      </c>
      <c r="B89">
        <v>17</v>
      </c>
      <c r="C89">
        <v>1</v>
      </c>
      <c r="D89" t="str">
        <f t="shared" si="0"/>
        <v>LPG 17:1</v>
      </c>
      <c r="E89" s="1">
        <v>6.79</v>
      </c>
      <c r="F89" s="9" t="s">
        <v>112</v>
      </c>
      <c r="G89" t="s">
        <v>106</v>
      </c>
      <c r="H89" t="s">
        <v>119</v>
      </c>
      <c r="K89" s="1"/>
      <c r="L89" s="1"/>
      <c r="N89" s="8"/>
      <c r="P89" s="1"/>
      <c r="T89" s="1"/>
      <c r="U89" s="1"/>
    </row>
    <row r="90" spans="1:21" x14ac:dyDescent="0.25">
      <c r="A90" t="s">
        <v>24</v>
      </c>
      <c r="B90">
        <v>32</v>
      </c>
      <c r="C90">
        <v>0</v>
      </c>
      <c r="D90" t="str">
        <f t="shared" si="0"/>
        <v>PG 32:0</v>
      </c>
      <c r="E90" s="1">
        <f>AVERAGE(16.3,16.35)</f>
        <v>16.325000000000003</v>
      </c>
      <c r="F90" s="9" t="b">
        <v>0</v>
      </c>
      <c r="K90" s="1"/>
      <c r="L90" s="1"/>
      <c r="N90" s="8"/>
      <c r="P90" s="1"/>
      <c r="T90" s="1"/>
      <c r="U90" s="1"/>
    </row>
    <row r="91" spans="1:21" x14ac:dyDescent="0.25">
      <c r="A91" t="s">
        <v>24</v>
      </c>
      <c r="B91">
        <v>34</v>
      </c>
      <c r="C91">
        <v>0</v>
      </c>
      <c r="D91" t="str">
        <f t="shared" si="0"/>
        <v>PG 34:0</v>
      </c>
      <c r="E91" s="1">
        <f>AVERAGE(17.07,17.11)</f>
        <v>17.09</v>
      </c>
      <c r="F91" s="9" t="b">
        <v>0</v>
      </c>
      <c r="K91" s="1"/>
      <c r="L91" s="1"/>
      <c r="N91" s="8"/>
      <c r="P91" s="1"/>
      <c r="T91" s="1"/>
      <c r="U91" s="1"/>
    </row>
    <row r="92" spans="1:21" x14ac:dyDescent="0.25">
      <c r="A92" t="s">
        <v>24</v>
      </c>
      <c r="B92">
        <v>34</v>
      </c>
      <c r="C92">
        <v>1</v>
      </c>
      <c r="D92" t="str">
        <f t="shared" si="0"/>
        <v>PG 34:1</v>
      </c>
      <c r="E92" s="1">
        <f>AVERAGE(16.4,16.45)</f>
        <v>16.424999999999997</v>
      </c>
      <c r="F92" s="9" t="b">
        <v>0</v>
      </c>
      <c r="K92" s="1"/>
      <c r="L92" s="1"/>
      <c r="N92" s="8"/>
      <c r="P92" s="1"/>
      <c r="T92" s="1"/>
      <c r="U92" s="1"/>
    </row>
    <row r="93" spans="1:21" x14ac:dyDescent="0.25">
      <c r="A93" t="s">
        <v>24</v>
      </c>
      <c r="B93">
        <v>34</v>
      </c>
      <c r="C93">
        <v>2</v>
      </c>
      <c r="D93" t="str">
        <f t="shared" si="0"/>
        <v>PG 34:2</v>
      </c>
      <c r="E93" s="1">
        <f>AVERAGE(15.84,15.85,15.81,15.87)</f>
        <v>15.842499999999999</v>
      </c>
      <c r="F93" s="9" t="b">
        <v>1</v>
      </c>
      <c r="G93" t="s">
        <v>27</v>
      </c>
    </row>
    <row r="94" spans="1:21" x14ac:dyDescent="0.25">
      <c r="A94" t="s">
        <v>24</v>
      </c>
      <c r="B94">
        <v>34</v>
      </c>
      <c r="C94">
        <v>3</v>
      </c>
      <c r="D94" t="str">
        <f t="shared" si="0"/>
        <v>PG 34:3</v>
      </c>
      <c r="E94" s="1">
        <f>AVERAGE(15.28,15.28,15.24,15.31)</f>
        <v>15.2775</v>
      </c>
      <c r="F94" s="9" t="b">
        <v>1</v>
      </c>
      <c r="G94" t="s">
        <v>25</v>
      </c>
    </row>
    <row r="95" spans="1:21" x14ac:dyDescent="0.25">
      <c r="A95" t="s">
        <v>24</v>
      </c>
      <c r="B95">
        <v>36</v>
      </c>
      <c r="C95">
        <v>3</v>
      </c>
      <c r="D95" t="str">
        <f t="shared" si="0"/>
        <v>PG 36:3</v>
      </c>
      <c r="E95" s="1">
        <f>AVERAGE(15.97,15.97)</f>
        <v>15.97</v>
      </c>
      <c r="F95" s="9" t="b">
        <v>1</v>
      </c>
      <c r="G95" t="s">
        <v>43</v>
      </c>
    </row>
    <row r="96" spans="1:21" x14ac:dyDescent="0.25">
      <c r="A96" t="s">
        <v>24</v>
      </c>
      <c r="B96">
        <v>36</v>
      </c>
      <c r="C96">
        <v>4</v>
      </c>
      <c r="D96" t="str">
        <f t="shared" si="0"/>
        <v>PG 36:4</v>
      </c>
      <c r="E96" s="1">
        <f>AVERAGE(15.31,15.32)</f>
        <v>15.315000000000001</v>
      </c>
      <c r="F96" s="9" t="b">
        <v>1</v>
      </c>
      <c r="G96" t="s">
        <v>45</v>
      </c>
    </row>
    <row r="97" spans="1:21" x14ac:dyDescent="0.25">
      <c r="A97" t="s">
        <v>52</v>
      </c>
      <c r="B97">
        <v>16</v>
      </c>
      <c r="C97">
        <v>0</v>
      </c>
      <c r="D97" t="str">
        <f t="shared" si="0"/>
        <v>LPI 16:0</v>
      </c>
      <c r="E97" s="1">
        <f>AVERAGE(6.74,6.77)</f>
        <v>6.7549999999999999</v>
      </c>
      <c r="F97" s="9" t="b">
        <v>1</v>
      </c>
      <c r="G97" t="s">
        <v>53</v>
      </c>
    </row>
    <row r="98" spans="1:21" x14ac:dyDescent="0.25">
      <c r="A98" t="s">
        <v>52</v>
      </c>
      <c r="B98">
        <v>17</v>
      </c>
      <c r="C98">
        <v>1</v>
      </c>
      <c r="D98" t="str">
        <f t="shared" si="0"/>
        <v>LPI 17:1</v>
      </c>
      <c r="E98" s="1">
        <v>6.12</v>
      </c>
      <c r="F98" s="9" t="s">
        <v>112</v>
      </c>
      <c r="G98" t="s">
        <v>107</v>
      </c>
      <c r="H98" t="s">
        <v>120</v>
      </c>
      <c r="K98" s="1"/>
      <c r="L98" s="1"/>
      <c r="N98" s="8"/>
      <c r="P98" s="1"/>
      <c r="T98" s="1"/>
      <c r="U98" s="1"/>
    </row>
    <row r="99" spans="1:21" x14ac:dyDescent="0.25">
      <c r="A99" t="s">
        <v>52</v>
      </c>
      <c r="B99">
        <v>18</v>
      </c>
      <c r="C99">
        <v>0</v>
      </c>
      <c r="D99" t="str">
        <f t="shared" si="0"/>
        <v>LPI 18:0</v>
      </c>
      <c r="E99" s="1">
        <f>AVERAGE(9.09,9.13)</f>
        <v>9.11</v>
      </c>
      <c r="F99" s="9" t="b">
        <v>1</v>
      </c>
      <c r="G99" t="s">
        <v>54</v>
      </c>
    </row>
    <row r="100" spans="1:21" x14ac:dyDescent="0.25">
      <c r="A100" t="s">
        <v>52</v>
      </c>
      <c r="B100">
        <v>18</v>
      </c>
      <c r="C100">
        <v>1</v>
      </c>
      <c r="D100" t="str">
        <f t="shared" si="0"/>
        <v>LPI 18:1</v>
      </c>
      <c r="E100" s="1">
        <f>AVERAGE(7.35,7.38)</f>
        <v>7.3650000000000002</v>
      </c>
      <c r="F100" s="9" t="b">
        <v>1</v>
      </c>
      <c r="G100" t="s">
        <v>55</v>
      </c>
    </row>
    <row r="101" spans="1:21" x14ac:dyDescent="0.25">
      <c r="A101" t="s">
        <v>52</v>
      </c>
      <c r="B101">
        <v>18</v>
      </c>
      <c r="C101">
        <v>2</v>
      </c>
      <c r="D101" t="str">
        <f t="shared" si="0"/>
        <v>LPI 18:2</v>
      </c>
      <c r="E101" s="1">
        <f>AVERAGE(5.77,5.8)</f>
        <v>5.7850000000000001</v>
      </c>
      <c r="F101" s="9" t="b">
        <v>1</v>
      </c>
      <c r="G101" t="s">
        <v>56</v>
      </c>
    </row>
    <row r="102" spans="1:21" x14ac:dyDescent="0.25">
      <c r="A102" t="s">
        <v>10</v>
      </c>
      <c r="B102">
        <v>32</v>
      </c>
      <c r="C102">
        <v>0</v>
      </c>
      <c r="D102" t="str">
        <f t="shared" si="0"/>
        <v>PI 32:0</v>
      </c>
      <c r="E102" s="1">
        <f>AVERAGE(16.06,16.12)</f>
        <v>16.09</v>
      </c>
      <c r="F102" s="9" t="b">
        <v>0</v>
      </c>
    </row>
    <row r="103" spans="1:21" x14ac:dyDescent="0.25">
      <c r="A103" t="s">
        <v>10</v>
      </c>
      <c r="B103">
        <v>34</v>
      </c>
      <c r="C103">
        <v>1</v>
      </c>
      <c r="D103" t="str">
        <f t="shared" si="0"/>
        <v>PI 34:1</v>
      </c>
      <c r="E103" s="1">
        <f>AVERAGE(16.19,16.26)</f>
        <v>16.225000000000001</v>
      </c>
      <c r="F103" s="9" t="b">
        <v>0</v>
      </c>
    </row>
    <row r="104" spans="1:21" x14ac:dyDescent="0.25">
      <c r="A104" t="s">
        <v>10</v>
      </c>
      <c r="B104">
        <v>34</v>
      </c>
      <c r="C104">
        <v>2</v>
      </c>
      <c r="D104" t="str">
        <f t="shared" si="0"/>
        <v>PI 34:2</v>
      </c>
      <c r="E104" s="1">
        <f>AVERAGE(15.59,15.62,15.57,15.64)</f>
        <v>15.605</v>
      </c>
      <c r="F104" s="9" t="b">
        <v>1</v>
      </c>
      <c r="G104" t="s">
        <v>17</v>
      </c>
    </row>
    <row r="105" spans="1:21" x14ac:dyDescent="0.25">
      <c r="A105" t="s">
        <v>10</v>
      </c>
      <c r="B105">
        <v>34</v>
      </c>
      <c r="C105">
        <v>3</v>
      </c>
      <c r="D105" t="str">
        <f t="shared" si="0"/>
        <v>PI 34:3</v>
      </c>
      <c r="E105" s="1">
        <f>AVERAGE(14.99,15.08)</f>
        <v>15.035</v>
      </c>
      <c r="F105" s="9" t="b">
        <v>0</v>
      </c>
    </row>
    <row r="106" spans="1:21" x14ac:dyDescent="0.25">
      <c r="A106" t="s">
        <v>10</v>
      </c>
      <c r="B106">
        <v>36</v>
      </c>
      <c r="C106">
        <v>2</v>
      </c>
      <c r="D106" t="str">
        <f t="shared" si="0"/>
        <v>PI 36:2</v>
      </c>
      <c r="E106" s="1">
        <f>AVERAGE(16.45,16.48,16.42,16.49)</f>
        <v>16.46</v>
      </c>
      <c r="F106" s="9" t="b">
        <v>1</v>
      </c>
      <c r="G106" t="s">
        <v>37</v>
      </c>
    </row>
    <row r="107" spans="1:21" x14ac:dyDescent="0.25">
      <c r="A107" t="s">
        <v>10</v>
      </c>
      <c r="B107">
        <v>36</v>
      </c>
      <c r="C107">
        <v>3</v>
      </c>
      <c r="D107" t="str">
        <f t="shared" si="0"/>
        <v>PI 36:3</v>
      </c>
      <c r="E107" s="1">
        <f>AVERAGE(15.73,15.73,15.97)</f>
        <v>15.81</v>
      </c>
      <c r="F107" s="9" t="b">
        <v>1</v>
      </c>
      <c r="G107" t="s">
        <v>38</v>
      </c>
    </row>
    <row r="108" spans="1:21" x14ac:dyDescent="0.25">
      <c r="A108" t="s">
        <v>10</v>
      </c>
      <c r="B108">
        <v>36</v>
      </c>
      <c r="C108">
        <v>4</v>
      </c>
      <c r="D108" t="str">
        <f t="shared" si="0"/>
        <v>PI 36:4</v>
      </c>
      <c r="E108" s="1">
        <f>AVERAGE(15.08,15.08,15.04,15.13)</f>
        <v>15.082500000000001</v>
      </c>
      <c r="F108" s="9" t="b">
        <v>1</v>
      </c>
      <c r="G108" t="s">
        <v>16</v>
      </c>
    </row>
    <row r="109" spans="1:21" x14ac:dyDescent="0.25">
      <c r="A109" t="s">
        <v>10</v>
      </c>
      <c r="B109">
        <v>36</v>
      </c>
      <c r="C109">
        <v>5</v>
      </c>
      <c r="D109" t="str">
        <f t="shared" si="0"/>
        <v>PI 36:5</v>
      </c>
      <c r="E109" s="1">
        <f>AVERAGE(14.42,14.51)</f>
        <v>14.465</v>
      </c>
      <c r="F109" s="9" t="b">
        <v>0</v>
      </c>
    </row>
    <row r="110" spans="1:21" s="3" customFormat="1" x14ac:dyDescent="0.25">
      <c r="A110" t="s">
        <v>108</v>
      </c>
      <c r="B110">
        <v>17</v>
      </c>
      <c r="C110">
        <v>1</v>
      </c>
      <c r="D110" t="str">
        <f t="shared" si="0"/>
        <v>LPS 17:1</v>
      </c>
      <c r="E110" s="1">
        <v>6.17</v>
      </c>
      <c r="F110" s="9" t="s">
        <v>112</v>
      </c>
      <c r="G110" t="s">
        <v>109</v>
      </c>
      <c r="H110" t="s">
        <v>120</v>
      </c>
      <c r="I110"/>
      <c r="J110" s="2"/>
      <c r="K110" s="1"/>
      <c r="L110" s="1"/>
      <c r="M110"/>
      <c r="N110" s="4"/>
      <c r="O110"/>
      <c r="P110" s="1"/>
      <c r="Q110"/>
      <c r="R110"/>
      <c r="S110"/>
      <c r="T110" s="1"/>
      <c r="U110" s="1"/>
    </row>
    <row r="111" spans="1:21" x14ac:dyDescent="0.25">
      <c r="A111" t="s">
        <v>21</v>
      </c>
      <c r="B111">
        <v>34</v>
      </c>
      <c r="C111">
        <v>2</v>
      </c>
      <c r="D111" t="str">
        <f t="shared" si="0"/>
        <v>PS 34:2</v>
      </c>
      <c r="E111" s="1">
        <f>AVERAGE(15.7,15.71,15.73)</f>
        <v>15.713333333333333</v>
      </c>
      <c r="F111" s="9" t="b">
        <v>1</v>
      </c>
      <c r="G111" t="s">
        <v>46</v>
      </c>
    </row>
    <row r="112" spans="1:21" x14ac:dyDescent="0.25">
      <c r="A112" t="s">
        <v>21</v>
      </c>
      <c r="B112">
        <v>36</v>
      </c>
      <c r="C112">
        <v>3</v>
      </c>
      <c r="D112" t="str">
        <f t="shared" si="0"/>
        <v>PS 36:3</v>
      </c>
      <c r="E112" s="1">
        <v>15.81</v>
      </c>
      <c r="F112" s="9" t="b">
        <v>1</v>
      </c>
      <c r="G112" t="s">
        <v>44</v>
      </c>
      <c r="H112" t="s">
        <v>117</v>
      </c>
    </row>
    <row r="113" spans="1:21" x14ac:dyDescent="0.25">
      <c r="A113" t="s">
        <v>21</v>
      </c>
      <c r="B113">
        <v>36</v>
      </c>
      <c r="C113">
        <v>4</v>
      </c>
      <c r="D113" t="str">
        <f t="shared" si="0"/>
        <v>PS 36:4</v>
      </c>
      <c r="E113" s="1">
        <f>AVERAGE(15.17,15.18)</f>
        <v>15.175000000000001</v>
      </c>
      <c r="F113" s="9" t="b">
        <v>1</v>
      </c>
      <c r="G113" t="s">
        <v>47</v>
      </c>
    </row>
    <row r="114" spans="1:21" x14ac:dyDescent="0.25">
      <c r="A114" t="s">
        <v>21</v>
      </c>
      <c r="B114">
        <v>38</v>
      </c>
      <c r="C114">
        <v>2</v>
      </c>
      <c r="D114" t="str">
        <f t="shared" si="0"/>
        <v>PS 38:2</v>
      </c>
      <c r="E114" s="1">
        <f>AVERAGE(17.28,17.32)</f>
        <v>17.3</v>
      </c>
      <c r="F114" s="9" t="b">
        <v>0</v>
      </c>
    </row>
    <row r="115" spans="1:21" x14ac:dyDescent="0.25">
      <c r="A115" t="s">
        <v>21</v>
      </c>
      <c r="B115">
        <v>40</v>
      </c>
      <c r="C115">
        <v>3</v>
      </c>
      <c r="D115" t="str">
        <f t="shared" si="0"/>
        <v>PS 40:3</v>
      </c>
      <c r="E115" s="1">
        <f>AVERAGE(17.53,17.58)</f>
        <v>17.555</v>
      </c>
      <c r="F115" s="9" t="b">
        <v>0</v>
      </c>
    </row>
    <row r="116" spans="1:21" x14ac:dyDescent="0.25">
      <c r="A116" t="s">
        <v>78</v>
      </c>
      <c r="B116">
        <v>34</v>
      </c>
      <c r="C116">
        <v>0</v>
      </c>
      <c r="D116" t="s">
        <v>110</v>
      </c>
      <c r="E116" s="1">
        <f>AVERAGE(18.23,18.29)</f>
        <v>18.259999999999998</v>
      </c>
      <c r="F116" s="9" t="s">
        <v>112</v>
      </c>
      <c r="G116" t="s">
        <v>110</v>
      </c>
      <c r="K116" s="1" t="s">
        <v>177</v>
      </c>
      <c r="L116" s="1">
        <v>2016</v>
      </c>
      <c r="N116" s="8"/>
      <c r="P116" s="1"/>
      <c r="T116" s="1"/>
      <c r="U116" s="1"/>
    </row>
    <row r="117" spans="1:21" x14ac:dyDescent="0.25">
      <c r="A117" t="s">
        <v>78</v>
      </c>
      <c r="B117">
        <v>34</v>
      </c>
      <c r="C117">
        <v>4</v>
      </c>
      <c r="D117" t="str">
        <f t="shared" si="0"/>
        <v>MGDG 34:4</v>
      </c>
      <c r="E117" s="1">
        <f>AVERAGE(15.86,15.86,15.87)</f>
        <v>15.863333333333332</v>
      </c>
      <c r="F117" s="9" t="b">
        <v>1</v>
      </c>
      <c r="G117" t="s">
        <v>79</v>
      </c>
    </row>
    <row r="118" spans="1:21" x14ac:dyDescent="0.25">
      <c r="A118" t="s">
        <v>78</v>
      </c>
      <c r="B118">
        <v>34</v>
      </c>
      <c r="C118">
        <v>5</v>
      </c>
      <c r="D118" t="str">
        <f t="shared" si="0"/>
        <v>MGDG 34:5</v>
      </c>
      <c r="E118" s="1">
        <f>AVERAGE(15.23,15.24)</f>
        <v>15.234999999999999</v>
      </c>
      <c r="F118" s="9" t="b">
        <v>1</v>
      </c>
      <c r="G118" t="s">
        <v>80</v>
      </c>
    </row>
    <row r="119" spans="1:21" x14ac:dyDescent="0.25">
      <c r="A119" t="s">
        <v>78</v>
      </c>
      <c r="B119">
        <v>34</v>
      </c>
      <c r="C119">
        <v>6</v>
      </c>
      <c r="D119" t="str">
        <f t="shared" si="0"/>
        <v>MGDG 34:6</v>
      </c>
      <c r="E119" s="1">
        <f>AVERAGE(14.57,14.58)</f>
        <v>14.574999999999999</v>
      </c>
      <c r="F119" s="9" t="b">
        <v>1</v>
      </c>
      <c r="G119" t="s">
        <v>81</v>
      </c>
    </row>
    <row r="120" spans="1:21" x14ac:dyDescent="0.25">
      <c r="A120" t="s">
        <v>78</v>
      </c>
      <c r="B120">
        <v>36</v>
      </c>
      <c r="C120">
        <v>0</v>
      </c>
      <c r="D120" t="str">
        <f t="shared" si="0"/>
        <v>MGDG 36:0</v>
      </c>
      <c r="E120" s="6">
        <v>18.899999999999999</v>
      </c>
      <c r="F120" s="9" t="b">
        <v>0</v>
      </c>
    </row>
    <row r="121" spans="1:21" x14ac:dyDescent="0.25">
      <c r="A121" t="s">
        <v>78</v>
      </c>
      <c r="B121">
        <v>36</v>
      </c>
      <c r="C121">
        <v>2</v>
      </c>
      <c r="D121" t="s">
        <v>178</v>
      </c>
      <c r="E121" s="1">
        <v>17.71</v>
      </c>
      <c r="F121" s="9" t="b">
        <v>0</v>
      </c>
      <c r="I121" t="s">
        <v>157</v>
      </c>
      <c r="J121" s="2">
        <v>1968</v>
      </c>
    </row>
    <row r="122" spans="1:21" x14ac:dyDescent="0.25">
      <c r="A122" t="s">
        <v>78</v>
      </c>
      <c r="B122">
        <v>36</v>
      </c>
      <c r="C122">
        <v>3</v>
      </c>
      <c r="D122" t="s">
        <v>179</v>
      </c>
      <c r="E122" s="1">
        <f>AVERAGE(17.17,17.23)</f>
        <v>17.200000000000003</v>
      </c>
      <c r="F122" s="9" t="b">
        <v>0</v>
      </c>
      <c r="K122" t="s">
        <v>135</v>
      </c>
      <c r="L122" s="2">
        <v>1906</v>
      </c>
    </row>
    <row r="123" spans="1:21" x14ac:dyDescent="0.25">
      <c r="A123" t="s">
        <v>78</v>
      </c>
      <c r="B123">
        <v>36</v>
      </c>
      <c r="C123">
        <v>4</v>
      </c>
      <c r="D123" t="s">
        <v>180</v>
      </c>
      <c r="E123" s="1">
        <f>AVERAGE(16.57,16.67)</f>
        <v>16.62</v>
      </c>
      <c r="F123" s="9" t="b">
        <v>0</v>
      </c>
      <c r="I123" t="s">
        <v>176</v>
      </c>
      <c r="J123" s="2">
        <v>1966</v>
      </c>
      <c r="K123" t="s">
        <v>155</v>
      </c>
      <c r="L123" s="2">
        <v>1844</v>
      </c>
    </row>
    <row r="124" spans="1:21" x14ac:dyDescent="0.25">
      <c r="A124" t="s">
        <v>78</v>
      </c>
      <c r="B124">
        <v>36</v>
      </c>
      <c r="C124">
        <v>5</v>
      </c>
      <c r="D124" t="s">
        <v>82</v>
      </c>
      <c r="E124" s="1">
        <f>AVERAGE(16.04,16.04,16,16.1)</f>
        <v>16.045000000000002</v>
      </c>
      <c r="F124" s="9" t="b">
        <v>1</v>
      </c>
      <c r="G124" t="s">
        <v>82</v>
      </c>
      <c r="I124" t="s">
        <v>153</v>
      </c>
      <c r="J124" s="2">
        <v>1898</v>
      </c>
      <c r="K124" t="s">
        <v>168</v>
      </c>
      <c r="L124" s="2">
        <v>1772</v>
      </c>
    </row>
    <row r="125" spans="1:21" x14ac:dyDescent="0.25">
      <c r="A125" t="s">
        <v>78</v>
      </c>
      <c r="B125">
        <v>36</v>
      </c>
      <c r="C125">
        <v>6</v>
      </c>
      <c r="D125" t="s">
        <v>83</v>
      </c>
      <c r="E125" s="1">
        <f>AVERAGE(15.43,15.43,15.41,15.5)</f>
        <v>15.442499999999999</v>
      </c>
      <c r="F125" s="9" t="b">
        <v>1</v>
      </c>
      <c r="G125" t="s">
        <v>83</v>
      </c>
      <c r="I125" t="s">
        <v>148</v>
      </c>
      <c r="J125" s="2">
        <v>1828</v>
      </c>
      <c r="K125" t="s">
        <v>138</v>
      </c>
      <c r="L125" s="2">
        <v>1708</v>
      </c>
    </row>
    <row r="126" spans="1:21" x14ac:dyDescent="0.25">
      <c r="A126" t="s">
        <v>71</v>
      </c>
      <c r="B126">
        <v>34</v>
      </c>
      <c r="C126">
        <v>0</v>
      </c>
      <c r="D126" t="str">
        <f t="shared" ref="D126:D190" si="1">A126&amp;" "&amp;B126&amp;":"&amp;C126</f>
        <v>DGDG 34:0</v>
      </c>
      <c r="E126" s="1">
        <f>AVERAGE(17.68,17.76)</f>
        <v>17.72</v>
      </c>
      <c r="F126" s="9" t="b">
        <v>0</v>
      </c>
    </row>
    <row r="127" spans="1:21" x14ac:dyDescent="0.25">
      <c r="A127" t="s">
        <v>71</v>
      </c>
      <c r="B127">
        <v>34</v>
      </c>
      <c r="C127">
        <v>2</v>
      </c>
      <c r="D127" t="str">
        <f t="shared" si="1"/>
        <v>DGDG 34:2</v>
      </c>
      <c r="E127" s="1">
        <f>AVERAGE(16.48,16.55)</f>
        <v>16.515000000000001</v>
      </c>
      <c r="F127" s="9" t="b">
        <v>0</v>
      </c>
    </row>
    <row r="128" spans="1:21" x14ac:dyDescent="0.25">
      <c r="A128" t="s">
        <v>71</v>
      </c>
      <c r="B128">
        <v>34</v>
      </c>
      <c r="C128">
        <v>3</v>
      </c>
      <c r="D128" t="str">
        <f t="shared" si="1"/>
        <v>DGDG 34:3</v>
      </c>
      <c r="E128" s="1">
        <f>AVERAGE(15.91,15.93,15.91,16)</f>
        <v>15.9375</v>
      </c>
      <c r="F128" s="9" t="b">
        <v>1</v>
      </c>
      <c r="G128" t="s">
        <v>72</v>
      </c>
    </row>
    <row r="129" spans="1:21" x14ac:dyDescent="0.25">
      <c r="A129" t="s">
        <v>71</v>
      </c>
      <c r="B129">
        <v>34</v>
      </c>
      <c r="C129">
        <v>4</v>
      </c>
      <c r="D129" t="str">
        <f t="shared" si="1"/>
        <v>DGDG 34:4</v>
      </c>
      <c r="E129" s="1">
        <f>AVERAGE(15.15,15.16)</f>
        <v>15.155000000000001</v>
      </c>
      <c r="F129" s="9" t="b">
        <v>1</v>
      </c>
      <c r="G129" t="s">
        <v>73</v>
      </c>
    </row>
    <row r="130" spans="1:21" x14ac:dyDescent="0.25">
      <c r="A130" t="s">
        <v>71</v>
      </c>
      <c r="B130">
        <v>34</v>
      </c>
      <c r="C130">
        <v>5</v>
      </c>
      <c r="D130" t="str">
        <f t="shared" si="1"/>
        <v>DGDG 34:5</v>
      </c>
      <c r="E130" s="1">
        <f>AVERAGE(14.5,14.53)</f>
        <v>14.515000000000001</v>
      </c>
      <c r="F130" s="9" t="b">
        <v>1</v>
      </c>
      <c r="G130" t="s">
        <v>74</v>
      </c>
    </row>
    <row r="131" spans="1:21" x14ac:dyDescent="0.25">
      <c r="A131" t="s">
        <v>71</v>
      </c>
      <c r="B131">
        <v>34</v>
      </c>
      <c r="C131">
        <v>6</v>
      </c>
      <c r="D131" t="str">
        <f t="shared" si="1"/>
        <v>DGDG 34:6</v>
      </c>
      <c r="E131" s="1">
        <f>AVERAGE(13.83,13.84)</f>
        <v>13.835000000000001</v>
      </c>
      <c r="F131" s="9" t="b">
        <v>1</v>
      </c>
      <c r="G131" t="s">
        <v>75</v>
      </c>
    </row>
    <row r="132" spans="1:21" x14ac:dyDescent="0.25">
      <c r="A132" t="s">
        <v>71</v>
      </c>
      <c r="B132">
        <v>36</v>
      </c>
      <c r="C132">
        <v>0</v>
      </c>
      <c r="D132" t="str">
        <f>A132&amp;" "&amp;B132&amp;":"&amp;C132</f>
        <v>DGDG 36:0</v>
      </c>
      <c r="E132" s="1">
        <v>18.38</v>
      </c>
      <c r="F132" s="9" t="s">
        <v>112</v>
      </c>
      <c r="G132" t="s">
        <v>111</v>
      </c>
      <c r="H132" t="s">
        <v>121</v>
      </c>
      <c r="K132" s="1"/>
      <c r="L132" s="1"/>
      <c r="N132" s="8"/>
      <c r="P132" s="1"/>
      <c r="T132" s="1"/>
      <c r="U132" s="1"/>
    </row>
    <row r="133" spans="1:21" x14ac:dyDescent="0.25">
      <c r="A133" t="s">
        <v>71</v>
      </c>
      <c r="B133">
        <v>36</v>
      </c>
      <c r="C133">
        <v>3</v>
      </c>
      <c r="D133" t="str">
        <f>A133&amp;" "&amp;B133&amp;":"&amp;C133</f>
        <v>DGDG 36:3</v>
      </c>
      <c r="E133" s="1">
        <f>AVERAGE(16.77,16.84)</f>
        <v>16.805</v>
      </c>
      <c r="F133" s="9" t="b">
        <v>0</v>
      </c>
      <c r="K133" s="1"/>
      <c r="L133" s="1"/>
      <c r="N133" s="8"/>
      <c r="P133" s="1"/>
      <c r="T133" s="1"/>
      <c r="U133" s="1"/>
    </row>
    <row r="134" spans="1:21" x14ac:dyDescent="0.25">
      <c r="A134" t="s">
        <v>71</v>
      </c>
      <c r="B134">
        <v>36</v>
      </c>
      <c r="C134">
        <v>4</v>
      </c>
      <c r="D134" t="str">
        <f>A134&amp;" "&amp;B134&amp;":"&amp;C134</f>
        <v>DGDG 36:4</v>
      </c>
      <c r="E134" s="1">
        <f>AVERAGE(15.95,16.06)</f>
        <v>16.004999999999999</v>
      </c>
      <c r="F134" s="9" t="b">
        <v>0</v>
      </c>
      <c r="K134" s="1"/>
      <c r="L134" s="1"/>
      <c r="N134" s="8"/>
      <c r="P134" s="1"/>
      <c r="T134" s="1"/>
      <c r="U134" s="1"/>
    </row>
    <row r="135" spans="1:21" x14ac:dyDescent="0.25">
      <c r="A135" t="s">
        <v>71</v>
      </c>
      <c r="B135">
        <v>36</v>
      </c>
      <c r="C135">
        <v>5</v>
      </c>
      <c r="D135" t="str">
        <f t="shared" si="1"/>
        <v>DGDG 36:5</v>
      </c>
      <c r="E135" s="1">
        <f>AVERAGE(15.38,15.39,15.36,15.46)</f>
        <v>15.397500000000001</v>
      </c>
      <c r="F135" s="9" t="b">
        <v>1</v>
      </c>
      <c r="G135" t="s">
        <v>76</v>
      </c>
      <c r="K135" t="s">
        <v>181</v>
      </c>
      <c r="L135" s="2">
        <v>1708</v>
      </c>
    </row>
    <row r="136" spans="1:21" x14ac:dyDescent="0.25">
      <c r="A136" t="s">
        <v>71</v>
      </c>
      <c r="B136">
        <v>36</v>
      </c>
      <c r="C136">
        <v>6</v>
      </c>
      <c r="D136" t="str">
        <f t="shared" si="1"/>
        <v>DGDG 36:6</v>
      </c>
      <c r="E136" s="1">
        <f>AVERAGE(14.75,14.76,14.72,14.83)</f>
        <v>14.764999999999999</v>
      </c>
      <c r="F136" s="9" t="b">
        <v>1</v>
      </c>
      <c r="G136" t="s">
        <v>77</v>
      </c>
      <c r="I136" t="s">
        <v>176</v>
      </c>
      <c r="J136" s="2">
        <v>1744</v>
      </c>
    </row>
    <row r="137" spans="1:21" x14ac:dyDescent="0.25">
      <c r="A137" t="s">
        <v>98</v>
      </c>
      <c r="B137">
        <v>18</v>
      </c>
      <c r="C137">
        <v>1</v>
      </c>
      <c r="D137" t="str">
        <f t="shared" si="1"/>
        <v>MG 18:1</v>
      </c>
      <c r="E137" s="1">
        <v>11.15</v>
      </c>
      <c r="F137" s="9" t="b">
        <v>1</v>
      </c>
      <c r="G137" t="s">
        <v>116</v>
      </c>
    </row>
    <row r="138" spans="1:21" x14ac:dyDescent="0.25">
      <c r="A138" t="s">
        <v>32</v>
      </c>
      <c r="B138">
        <v>36</v>
      </c>
      <c r="C138">
        <v>2</v>
      </c>
      <c r="D138" t="s">
        <v>33</v>
      </c>
      <c r="E138" s="1">
        <f>AVERAGE(18.66,18.66)</f>
        <v>18.66</v>
      </c>
      <c r="F138" s="9" t="b">
        <v>1</v>
      </c>
      <c r="G138" t="s">
        <v>33</v>
      </c>
      <c r="K138" t="s">
        <v>146</v>
      </c>
      <c r="L138" s="2">
        <v>2194</v>
      </c>
    </row>
    <row r="139" spans="1:21" x14ac:dyDescent="0.25">
      <c r="A139" t="s">
        <v>31</v>
      </c>
      <c r="B139">
        <v>42</v>
      </c>
      <c r="C139">
        <v>0</v>
      </c>
      <c r="D139" t="str">
        <f t="shared" si="1"/>
        <v>TG 42:0</v>
      </c>
      <c r="E139" s="1">
        <v>20.71</v>
      </c>
      <c r="F139" s="9" t="b">
        <v>1</v>
      </c>
      <c r="G139" t="s">
        <v>99</v>
      </c>
    </row>
    <row r="140" spans="1:21" x14ac:dyDescent="0.25">
      <c r="A140" t="s">
        <v>31</v>
      </c>
      <c r="B140">
        <v>48</v>
      </c>
      <c r="C140">
        <v>0</v>
      </c>
      <c r="D140" t="str">
        <f t="shared" si="1"/>
        <v>TG 48:0</v>
      </c>
      <c r="E140" s="1">
        <f>AVERAGE(21.77,21.75)</f>
        <v>21.759999999999998</v>
      </c>
      <c r="F140" s="9" t="b">
        <v>1</v>
      </c>
      <c r="G140" t="s">
        <v>100</v>
      </c>
    </row>
    <row r="141" spans="1:21" x14ac:dyDescent="0.25">
      <c r="A141" t="s">
        <v>31</v>
      </c>
      <c r="B141">
        <v>50</v>
      </c>
      <c r="C141">
        <v>2</v>
      </c>
      <c r="D141" t="s">
        <v>101</v>
      </c>
      <c r="E141" s="1">
        <f>AVERAGE(21.51,21.49)</f>
        <v>21.5</v>
      </c>
      <c r="F141" s="9" t="b">
        <v>1</v>
      </c>
      <c r="G141" t="s">
        <v>101</v>
      </c>
      <c r="K141" t="s">
        <v>126</v>
      </c>
      <c r="L141" s="2">
        <v>2536</v>
      </c>
    </row>
    <row r="142" spans="1:21" x14ac:dyDescent="0.25">
      <c r="A142" t="s">
        <v>31</v>
      </c>
      <c r="B142">
        <v>54</v>
      </c>
      <c r="C142">
        <v>3</v>
      </c>
      <c r="D142" t="s">
        <v>193</v>
      </c>
      <c r="E142" s="1">
        <f>AVERAGE(21.8,21.83)</f>
        <v>21.814999999999998</v>
      </c>
      <c r="F142" s="9" t="b">
        <v>1</v>
      </c>
      <c r="G142" t="s">
        <v>102</v>
      </c>
      <c r="K142" t="s">
        <v>194</v>
      </c>
      <c r="L142" s="2">
        <v>2584</v>
      </c>
    </row>
    <row r="143" spans="1:21" x14ac:dyDescent="0.25">
      <c r="A143" t="s">
        <v>32</v>
      </c>
      <c r="B143">
        <v>32</v>
      </c>
      <c r="C143">
        <v>0</v>
      </c>
      <c r="D143" t="s">
        <v>184</v>
      </c>
      <c r="E143" s="6">
        <v>18.53</v>
      </c>
      <c r="F143" s="9" t="b">
        <v>0</v>
      </c>
      <c r="K143" t="s">
        <v>185</v>
      </c>
      <c r="L143" s="2">
        <v>2192</v>
      </c>
    </row>
    <row r="144" spans="1:21" x14ac:dyDescent="0.25">
      <c r="A144" t="s">
        <v>32</v>
      </c>
      <c r="B144">
        <v>32</v>
      </c>
      <c r="C144">
        <v>1</v>
      </c>
      <c r="D144" t="str">
        <f t="shared" si="1"/>
        <v>DG 32:1</v>
      </c>
      <c r="E144" s="6">
        <v>17.93</v>
      </c>
      <c r="F144" s="9" t="b">
        <v>0</v>
      </c>
    </row>
    <row r="145" spans="1:12" x14ac:dyDescent="0.25">
      <c r="A145" t="s">
        <v>32</v>
      </c>
      <c r="B145">
        <v>34</v>
      </c>
      <c r="C145">
        <v>1</v>
      </c>
      <c r="D145" t="s">
        <v>186</v>
      </c>
      <c r="E145" s="6">
        <v>18.579999999999998</v>
      </c>
      <c r="F145" s="9" t="b">
        <v>0</v>
      </c>
      <c r="K145" t="s">
        <v>146</v>
      </c>
      <c r="L145" s="2">
        <v>2188</v>
      </c>
    </row>
    <row r="146" spans="1:12" x14ac:dyDescent="0.25">
      <c r="A146" t="s">
        <v>32</v>
      </c>
      <c r="B146">
        <v>34</v>
      </c>
      <c r="C146">
        <v>2</v>
      </c>
      <c r="D146" t="s">
        <v>187</v>
      </c>
      <c r="E146" s="6">
        <v>18.13</v>
      </c>
      <c r="F146" s="9" t="b">
        <v>0</v>
      </c>
      <c r="K146" t="s">
        <v>150</v>
      </c>
      <c r="L146" s="2">
        <v>2130</v>
      </c>
    </row>
    <row r="147" spans="1:12" x14ac:dyDescent="0.25">
      <c r="A147" t="s">
        <v>32</v>
      </c>
      <c r="B147">
        <v>34</v>
      </c>
      <c r="C147">
        <v>3</v>
      </c>
      <c r="D147" t="s">
        <v>188</v>
      </c>
      <c r="E147" s="6">
        <v>17.61</v>
      </c>
      <c r="F147" s="9" t="b">
        <v>0</v>
      </c>
      <c r="K147" t="s">
        <v>176</v>
      </c>
      <c r="L147" s="2">
        <v>2080</v>
      </c>
    </row>
    <row r="148" spans="1:12" x14ac:dyDescent="0.25">
      <c r="A148" t="s">
        <v>32</v>
      </c>
      <c r="B148">
        <v>36</v>
      </c>
      <c r="C148">
        <v>3</v>
      </c>
      <c r="D148" t="s">
        <v>189</v>
      </c>
      <c r="E148" s="6">
        <v>18.16</v>
      </c>
      <c r="F148" s="9" t="b">
        <v>0</v>
      </c>
      <c r="G148" s="1"/>
      <c r="K148" t="s">
        <v>190</v>
      </c>
      <c r="L148" s="2">
        <v>2154</v>
      </c>
    </row>
    <row r="149" spans="1:12" x14ac:dyDescent="0.25">
      <c r="A149" t="s">
        <v>32</v>
      </c>
      <c r="B149">
        <v>36</v>
      </c>
      <c r="C149">
        <v>4</v>
      </c>
      <c r="D149" t="s">
        <v>191</v>
      </c>
      <c r="E149" s="6">
        <v>17.61</v>
      </c>
      <c r="F149" s="9" t="b">
        <v>0</v>
      </c>
      <c r="G149" s="1"/>
      <c r="K149" t="s">
        <v>147</v>
      </c>
      <c r="L149" s="2">
        <v>2088</v>
      </c>
    </row>
    <row r="150" spans="1:12" x14ac:dyDescent="0.25">
      <c r="A150" t="s">
        <v>32</v>
      </c>
      <c r="B150">
        <v>36</v>
      </c>
      <c r="C150">
        <v>5</v>
      </c>
      <c r="D150" t="s">
        <v>192</v>
      </c>
      <c r="E150" s="6">
        <v>17.09</v>
      </c>
      <c r="F150" s="9" t="b">
        <v>0</v>
      </c>
      <c r="G150" s="1"/>
      <c r="K150" t="s">
        <v>172</v>
      </c>
      <c r="L150" s="2">
        <v>2026</v>
      </c>
    </row>
    <row r="151" spans="1:12" x14ac:dyDescent="0.25">
      <c r="A151" t="s">
        <v>32</v>
      </c>
      <c r="B151">
        <v>36</v>
      </c>
      <c r="C151">
        <v>6</v>
      </c>
      <c r="D151" t="s">
        <v>225</v>
      </c>
      <c r="E151" s="6">
        <v>16.579999999999998</v>
      </c>
      <c r="F151" s="9" t="b">
        <v>0</v>
      </c>
      <c r="G151" s="1"/>
    </row>
    <row r="152" spans="1:12" x14ac:dyDescent="0.25">
      <c r="A152" t="s">
        <v>31</v>
      </c>
      <c r="B152">
        <v>46</v>
      </c>
      <c r="C152">
        <v>0</v>
      </c>
      <c r="D152" t="str">
        <f t="shared" si="1"/>
        <v>TG 46:0</v>
      </c>
      <c r="E152" s="6">
        <v>21.44</v>
      </c>
      <c r="F152" s="9" t="b">
        <v>0</v>
      </c>
    </row>
    <row r="153" spans="1:12" x14ac:dyDescent="0.25">
      <c r="A153" t="s">
        <v>31</v>
      </c>
      <c r="B153">
        <f>12+16+18</f>
        <v>46</v>
      </c>
      <c r="C153">
        <v>1</v>
      </c>
      <c r="D153" t="str">
        <f t="shared" si="1"/>
        <v>TG 46:1</v>
      </c>
      <c r="E153" s="6">
        <v>21.12</v>
      </c>
      <c r="F153" s="9" t="b">
        <v>0</v>
      </c>
    </row>
    <row r="154" spans="1:12" x14ac:dyDescent="0.25">
      <c r="A154" t="s">
        <v>31</v>
      </c>
      <c r="B154">
        <f>12+16+18</f>
        <v>46</v>
      </c>
      <c r="C154">
        <v>2</v>
      </c>
      <c r="D154" t="str">
        <f t="shared" si="1"/>
        <v>TG 46:2</v>
      </c>
      <c r="E154" s="6">
        <v>20.8</v>
      </c>
      <c r="F154" s="9" t="b">
        <v>0</v>
      </c>
    </row>
    <row r="155" spans="1:12" x14ac:dyDescent="0.25">
      <c r="A155" t="s">
        <v>31</v>
      </c>
      <c r="B155">
        <v>46</v>
      </c>
      <c r="C155">
        <v>3</v>
      </c>
      <c r="D155" t="str">
        <f t="shared" si="1"/>
        <v>TG 46:3</v>
      </c>
      <c r="E155" s="6">
        <v>20.57</v>
      </c>
      <c r="F155" s="9" t="b">
        <v>0</v>
      </c>
    </row>
    <row r="156" spans="1:12" x14ac:dyDescent="0.25">
      <c r="A156" t="s">
        <v>31</v>
      </c>
      <c r="B156">
        <f>16*3</f>
        <v>48</v>
      </c>
      <c r="C156">
        <v>1</v>
      </c>
      <c r="D156" t="str">
        <f t="shared" si="1"/>
        <v>TG 48:1</v>
      </c>
      <c r="E156" s="6">
        <v>21.45</v>
      </c>
      <c r="F156" s="9" t="b">
        <v>0</v>
      </c>
    </row>
    <row r="157" spans="1:12" x14ac:dyDescent="0.25">
      <c r="A157" t="s">
        <v>31</v>
      </c>
      <c r="B157">
        <v>48</v>
      </c>
      <c r="C157">
        <v>2</v>
      </c>
      <c r="D157" t="str">
        <f t="shared" si="1"/>
        <v>TG 48:2</v>
      </c>
      <c r="E157" s="6">
        <v>21.16</v>
      </c>
      <c r="F157" s="9" t="b">
        <v>0</v>
      </c>
      <c r="K157" t="s">
        <v>146</v>
      </c>
      <c r="L157" s="2">
        <v>2490</v>
      </c>
    </row>
    <row r="158" spans="1:12" x14ac:dyDescent="0.25">
      <c r="A158" t="s">
        <v>31</v>
      </c>
      <c r="B158">
        <v>48</v>
      </c>
      <c r="C158">
        <v>3</v>
      </c>
      <c r="D158" t="str">
        <f t="shared" si="1"/>
        <v>TG 48:3</v>
      </c>
      <c r="E158" s="6">
        <v>20.9</v>
      </c>
      <c r="F158" s="9" t="b">
        <v>0</v>
      </c>
    </row>
    <row r="159" spans="1:12" x14ac:dyDescent="0.25">
      <c r="A159" t="s">
        <v>31</v>
      </c>
      <c r="B159">
        <v>48</v>
      </c>
      <c r="C159">
        <v>4</v>
      </c>
      <c r="D159" t="str">
        <f t="shared" si="1"/>
        <v>TG 48:4</v>
      </c>
      <c r="E159" s="6">
        <v>20.52</v>
      </c>
      <c r="F159" s="9" t="b">
        <v>0</v>
      </c>
    </row>
    <row r="160" spans="1:12" x14ac:dyDescent="0.25">
      <c r="A160" t="s">
        <v>31</v>
      </c>
      <c r="B160">
        <v>49</v>
      </c>
      <c r="C160">
        <v>0</v>
      </c>
      <c r="D160" t="str">
        <f t="shared" si="1"/>
        <v>TG 49:0</v>
      </c>
      <c r="E160" s="6">
        <v>21.84</v>
      </c>
      <c r="F160" s="9" t="b">
        <v>0</v>
      </c>
    </row>
    <row r="161" spans="1:12" x14ac:dyDescent="0.25">
      <c r="A161" t="s">
        <v>31</v>
      </c>
      <c r="B161">
        <v>49</v>
      </c>
      <c r="C161">
        <v>1</v>
      </c>
      <c r="D161" t="str">
        <f t="shared" si="1"/>
        <v>TG 49:1</v>
      </c>
      <c r="E161" s="6">
        <v>21.63</v>
      </c>
      <c r="F161" s="9" t="b">
        <v>0</v>
      </c>
    </row>
    <row r="162" spans="1:12" x14ac:dyDescent="0.25">
      <c r="A162" t="s">
        <v>31</v>
      </c>
      <c r="B162">
        <v>49</v>
      </c>
      <c r="C162">
        <v>2</v>
      </c>
      <c r="D162" t="str">
        <f t="shared" si="1"/>
        <v>TG 49:2</v>
      </c>
      <c r="E162" s="6">
        <v>21.42</v>
      </c>
      <c r="F162" s="9" t="b">
        <v>0</v>
      </c>
    </row>
    <row r="163" spans="1:12" x14ac:dyDescent="0.25">
      <c r="A163" t="s">
        <v>31</v>
      </c>
      <c r="B163">
        <v>49</v>
      </c>
      <c r="C163">
        <v>3</v>
      </c>
      <c r="D163" t="str">
        <f t="shared" si="1"/>
        <v>TG 49:3</v>
      </c>
      <c r="E163" s="6">
        <v>21.12</v>
      </c>
      <c r="F163" s="9" t="b">
        <v>0</v>
      </c>
    </row>
    <row r="164" spans="1:12" x14ac:dyDescent="0.25">
      <c r="A164" t="s">
        <v>31</v>
      </c>
      <c r="B164">
        <v>49</v>
      </c>
      <c r="C164">
        <v>4</v>
      </c>
      <c r="D164" t="str">
        <f t="shared" si="1"/>
        <v>TG 49:4</v>
      </c>
      <c r="E164" s="6">
        <v>20.84</v>
      </c>
      <c r="F164" s="9" t="b">
        <v>0</v>
      </c>
    </row>
    <row r="165" spans="1:12" x14ac:dyDescent="0.25">
      <c r="A165" t="s">
        <v>31</v>
      </c>
      <c r="B165">
        <v>50</v>
      </c>
      <c r="C165">
        <v>0</v>
      </c>
      <c r="D165" t="str">
        <f t="shared" si="1"/>
        <v>TG 50:0</v>
      </c>
      <c r="E165" s="6">
        <v>22.05</v>
      </c>
      <c r="F165" s="9" t="b">
        <v>0</v>
      </c>
    </row>
    <row r="166" spans="1:12" x14ac:dyDescent="0.25">
      <c r="A166" t="s">
        <v>31</v>
      </c>
      <c r="B166">
        <f>16+16+18</f>
        <v>50</v>
      </c>
      <c r="C166">
        <v>1</v>
      </c>
      <c r="D166" t="s">
        <v>195</v>
      </c>
      <c r="E166" s="6">
        <v>21.77</v>
      </c>
      <c r="F166" s="9" t="b">
        <v>0</v>
      </c>
      <c r="K166" t="s">
        <v>124</v>
      </c>
      <c r="L166" s="2">
        <v>2564</v>
      </c>
    </row>
    <row r="167" spans="1:12" x14ac:dyDescent="0.25">
      <c r="A167" t="s">
        <v>31</v>
      </c>
      <c r="B167">
        <v>50</v>
      </c>
      <c r="C167">
        <v>3</v>
      </c>
      <c r="D167" t="str">
        <f t="shared" si="1"/>
        <v>TG 50:3</v>
      </c>
      <c r="E167" s="6">
        <v>21.23</v>
      </c>
      <c r="F167" s="9" t="b">
        <v>0</v>
      </c>
      <c r="K167" t="s">
        <v>172</v>
      </c>
      <c r="L167" s="2">
        <v>2508</v>
      </c>
    </row>
    <row r="168" spans="1:12" x14ac:dyDescent="0.25">
      <c r="A168" t="s">
        <v>31</v>
      </c>
      <c r="B168">
        <v>50</v>
      </c>
      <c r="C168">
        <v>4</v>
      </c>
      <c r="D168" t="s">
        <v>196</v>
      </c>
      <c r="E168" s="6">
        <v>20.9</v>
      </c>
      <c r="F168" s="9" t="b">
        <v>0</v>
      </c>
      <c r="K168" t="s">
        <v>146</v>
      </c>
      <c r="L168" s="2">
        <v>2456</v>
      </c>
    </row>
    <row r="169" spans="1:12" x14ac:dyDescent="0.25">
      <c r="A169" t="s">
        <v>31</v>
      </c>
      <c r="B169">
        <v>50</v>
      </c>
      <c r="C169">
        <v>5</v>
      </c>
      <c r="D169" t="s">
        <v>197</v>
      </c>
      <c r="E169" s="6">
        <v>20.61</v>
      </c>
      <c r="F169" s="9" t="b">
        <v>0</v>
      </c>
      <c r="K169" t="s">
        <v>152</v>
      </c>
      <c r="L169" s="2">
        <v>2440</v>
      </c>
    </row>
    <row r="170" spans="1:12" x14ac:dyDescent="0.25">
      <c r="A170" t="s">
        <v>31</v>
      </c>
      <c r="B170">
        <v>50</v>
      </c>
      <c r="C170">
        <v>6</v>
      </c>
      <c r="D170" t="s">
        <v>198</v>
      </c>
      <c r="E170" s="6">
        <v>20.329999999999998</v>
      </c>
      <c r="F170" s="9" t="b">
        <v>0</v>
      </c>
      <c r="K170" t="s">
        <v>172</v>
      </c>
      <c r="L170" s="2">
        <v>2404</v>
      </c>
    </row>
    <row r="171" spans="1:12" x14ac:dyDescent="0.25">
      <c r="A171" t="s">
        <v>31</v>
      </c>
      <c r="B171">
        <f>16+17+18</f>
        <v>51</v>
      </c>
      <c r="C171">
        <v>2</v>
      </c>
      <c r="D171" t="str">
        <f t="shared" si="1"/>
        <v>TG 51:2</v>
      </c>
      <c r="E171" s="6">
        <v>21.66</v>
      </c>
      <c r="F171" s="9" t="b">
        <v>0</v>
      </c>
    </row>
    <row r="172" spans="1:12" x14ac:dyDescent="0.25">
      <c r="A172" t="s">
        <v>31</v>
      </c>
      <c r="B172">
        <v>51</v>
      </c>
      <c r="C172">
        <v>3</v>
      </c>
      <c r="D172" t="str">
        <f t="shared" si="1"/>
        <v>TG 51:3</v>
      </c>
      <c r="E172" s="6">
        <v>21.9</v>
      </c>
      <c r="F172" s="9" t="b">
        <v>0</v>
      </c>
    </row>
    <row r="173" spans="1:12" x14ac:dyDescent="0.25">
      <c r="A173" t="s">
        <v>31</v>
      </c>
      <c r="B173">
        <v>51</v>
      </c>
      <c r="C173">
        <v>4</v>
      </c>
      <c r="D173" t="str">
        <f t="shared" si="1"/>
        <v>TG 51:4</v>
      </c>
      <c r="E173" s="6">
        <v>21.11</v>
      </c>
      <c r="F173" s="9" t="b">
        <v>0</v>
      </c>
    </row>
    <row r="174" spans="1:12" x14ac:dyDescent="0.25">
      <c r="A174" t="s">
        <v>31</v>
      </c>
      <c r="B174">
        <v>51</v>
      </c>
      <c r="C174">
        <v>5</v>
      </c>
      <c r="D174" t="s">
        <v>199</v>
      </c>
      <c r="E174" s="6">
        <v>20.83</v>
      </c>
      <c r="F174" s="9" t="b">
        <v>0</v>
      </c>
      <c r="K174" t="s">
        <v>152</v>
      </c>
      <c r="L174" s="2">
        <v>2474</v>
      </c>
    </row>
    <row r="175" spans="1:12" x14ac:dyDescent="0.25">
      <c r="A175" t="s">
        <v>31</v>
      </c>
      <c r="B175">
        <v>51</v>
      </c>
      <c r="C175">
        <v>6</v>
      </c>
      <c r="D175" t="s">
        <v>200</v>
      </c>
      <c r="E175" s="6">
        <v>20.54</v>
      </c>
      <c r="F175" s="9" t="b">
        <v>0</v>
      </c>
      <c r="K175" t="s">
        <v>172</v>
      </c>
      <c r="L175" s="2">
        <v>2428</v>
      </c>
    </row>
    <row r="176" spans="1:12" x14ac:dyDescent="0.25">
      <c r="A176" t="s">
        <v>31</v>
      </c>
      <c r="B176">
        <f>16+18+18</f>
        <v>52</v>
      </c>
      <c r="C176">
        <v>0</v>
      </c>
      <c r="D176" t="str">
        <f t="shared" si="1"/>
        <v>TG 52:0</v>
      </c>
      <c r="E176" s="6">
        <v>22.33</v>
      </c>
      <c r="F176" s="9" t="b">
        <v>0</v>
      </c>
    </row>
    <row r="177" spans="1:12" x14ac:dyDescent="0.25">
      <c r="A177" t="s">
        <v>31</v>
      </c>
      <c r="B177">
        <v>52</v>
      </c>
      <c r="C177">
        <v>1</v>
      </c>
      <c r="D177" t="s">
        <v>201</v>
      </c>
      <c r="E177" s="6">
        <v>22</v>
      </c>
      <c r="F177" s="9" t="b">
        <v>0</v>
      </c>
      <c r="K177" t="s">
        <v>124</v>
      </c>
      <c r="L177" s="2">
        <v>2606</v>
      </c>
    </row>
    <row r="178" spans="1:12" x14ac:dyDescent="0.25">
      <c r="A178" t="s">
        <v>31</v>
      </c>
      <c r="B178">
        <v>52</v>
      </c>
      <c r="C178">
        <v>2</v>
      </c>
      <c r="D178" t="s">
        <v>202</v>
      </c>
      <c r="E178" s="6">
        <v>21.79</v>
      </c>
      <c r="F178" s="9" t="b">
        <v>0</v>
      </c>
      <c r="K178" t="s">
        <v>123</v>
      </c>
      <c r="L178" s="2">
        <v>2582</v>
      </c>
    </row>
    <row r="179" spans="1:12" x14ac:dyDescent="0.25">
      <c r="A179" t="s">
        <v>31</v>
      </c>
      <c r="B179">
        <v>52</v>
      </c>
      <c r="C179">
        <v>3</v>
      </c>
      <c r="D179" t="s">
        <v>203</v>
      </c>
      <c r="E179" s="6">
        <v>21.52</v>
      </c>
      <c r="F179" s="9" t="b">
        <v>0</v>
      </c>
      <c r="K179" t="s">
        <v>174</v>
      </c>
      <c r="L179" s="2">
        <v>2562</v>
      </c>
    </row>
    <row r="180" spans="1:12" x14ac:dyDescent="0.25">
      <c r="A180" t="s">
        <v>31</v>
      </c>
      <c r="B180">
        <v>52</v>
      </c>
      <c r="C180">
        <v>4</v>
      </c>
      <c r="D180" t="s">
        <v>204</v>
      </c>
      <c r="E180" s="6">
        <v>21.25</v>
      </c>
      <c r="F180" s="9" t="b">
        <v>0</v>
      </c>
      <c r="K180" t="s">
        <v>174</v>
      </c>
      <c r="L180" s="2">
        <v>2528</v>
      </c>
    </row>
    <row r="181" spans="1:12" x14ac:dyDescent="0.25">
      <c r="A181" t="s">
        <v>31</v>
      </c>
      <c r="B181">
        <v>52</v>
      </c>
      <c r="C181">
        <v>5</v>
      </c>
      <c r="D181" t="s">
        <v>205</v>
      </c>
      <c r="E181" s="6">
        <v>20.99</v>
      </c>
      <c r="F181" s="9" t="b">
        <v>0</v>
      </c>
      <c r="K181" t="s">
        <v>176</v>
      </c>
      <c r="L181" s="2">
        <v>2464</v>
      </c>
    </row>
    <row r="182" spans="1:12" x14ac:dyDescent="0.25">
      <c r="A182" t="s">
        <v>31</v>
      </c>
      <c r="B182">
        <v>52</v>
      </c>
      <c r="C182">
        <v>6</v>
      </c>
      <c r="D182" t="s">
        <v>206</v>
      </c>
      <c r="E182" s="6">
        <v>20.71</v>
      </c>
      <c r="F182" s="9" t="b">
        <v>0</v>
      </c>
      <c r="K182" t="s">
        <v>152</v>
      </c>
      <c r="L182" s="2">
        <v>2444</v>
      </c>
    </row>
    <row r="183" spans="1:12" x14ac:dyDescent="0.25">
      <c r="A183" t="s">
        <v>31</v>
      </c>
      <c r="B183">
        <v>52</v>
      </c>
      <c r="C183">
        <v>7</v>
      </c>
      <c r="D183" t="s">
        <v>207</v>
      </c>
      <c r="E183" s="6">
        <v>20.37</v>
      </c>
      <c r="F183" s="9" t="b">
        <v>0</v>
      </c>
      <c r="K183" t="s">
        <v>125</v>
      </c>
      <c r="L183" s="2">
        <v>2412</v>
      </c>
    </row>
    <row r="184" spans="1:12" x14ac:dyDescent="0.25">
      <c r="A184" t="s">
        <v>31</v>
      </c>
      <c r="B184">
        <f>17+18+18</f>
        <v>53</v>
      </c>
      <c r="C184">
        <v>2</v>
      </c>
      <c r="D184" t="str">
        <f t="shared" si="1"/>
        <v>TG 53:2</v>
      </c>
      <c r="E184" s="6">
        <v>21.95</v>
      </c>
      <c r="F184" s="9" t="b">
        <v>0</v>
      </c>
    </row>
    <row r="185" spans="1:12" x14ac:dyDescent="0.25">
      <c r="A185" t="s">
        <v>31</v>
      </c>
      <c r="B185">
        <v>53</v>
      </c>
      <c r="C185">
        <v>3</v>
      </c>
      <c r="D185" t="s">
        <v>208</v>
      </c>
      <c r="E185" s="6">
        <v>21.68</v>
      </c>
      <c r="F185" s="9" t="b">
        <v>0</v>
      </c>
      <c r="K185" t="s">
        <v>194</v>
      </c>
      <c r="L185" s="2">
        <v>2570</v>
      </c>
    </row>
    <row r="186" spans="1:12" x14ac:dyDescent="0.25">
      <c r="A186" t="s">
        <v>31</v>
      </c>
      <c r="B186">
        <v>53</v>
      </c>
      <c r="C186">
        <v>4</v>
      </c>
      <c r="D186" t="s">
        <v>209</v>
      </c>
      <c r="E186" s="6">
        <v>21.42</v>
      </c>
      <c r="F186" s="9" t="b">
        <v>0</v>
      </c>
      <c r="K186" t="s">
        <v>176</v>
      </c>
      <c r="L186" s="2">
        <v>2528</v>
      </c>
    </row>
    <row r="187" spans="1:12" x14ac:dyDescent="0.25">
      <c r="A187" t="s">
        <v>31</v>
      </c>
      <c r="B187">
        <v>53</v>
      </c>
      <c r="C187">
        <v>5</v>
      </c>
      <c r="D187" t="str">
        <f t="shared" si="1"/>
        <v>TG 53:5</v>
      </c>
      <c r="E187" s="6">
        <v>21.14</v>
      </c>
      <c r="F187" s="9" t="b">
        <v>0</v>
      </c>
    </row>
    <row r="188" spans="1:12" x14ac:dyDescent="0.25">
      <c r="A188" t="s">
        <v>31</v>
      </c>
      <c r="B188">
        <v>53</v>
      </c>
      <c r="C188">
        <v>6</v>
      </c>
      <c r="D188" t="s">
        <v>210</v>
      </c>
      <c r="E188" s="6">
        <v>20.81</v>
      </c>
      <c r="F188" s="9" t="b">
        <v>0</v>
      </c>
      <c r="K188" t="s">
        <v>150</v>
      </c>
      <c r="L188" s="2">
        <v>2448</v>
      </c>
    </row>
    <row r="189" spans="1:12" x14ac:dyDescent="0.25">
      <c r="A189" t="s">
        <v>31</v>
      </c>
      <c r="B189">
        <v>53</v>
      </c>
      <c r="C189">
        <v>7</v>
      </c>
      <c r="D189" t="str">
        <f t="shared" si="1"/>
        <v>TG 53:7</v>
      </c>
      <c r="E189" s="6">
        <v>20.54</v>
      </c>
      <c r="F189" s="9" t="b">
        <v>0</v>
      </c>
    </row>
    <row r="190" spans="1:12" x14ac:dyDescent="0.25">
      <c r="A190" t="s">
        <v>31</v>
      </c>
      <c r="B190">
        <f>16+18+20</f>
        <v>54</v>
      </c>
      <c r="C190">
        <v>0</v>
      </c>
      <c r="D190" t="str">
        <f t="shared" si="1"/>
        <v>TG 54:0</v>
      </c>
      <c r="E190" s="6">
        <v>22.58</v>
      </c>
      <c r="F190" s="9" t="b">
        <v>0</v>
      </c>
    </row>
    <row r="191" spans="1:12" x14ac:dyDescent="0.25">
      <c r="A191" t="s">
        <v>31</v>
      </c>
      <c r="B191">
        <v>54</v>
      </c>
      <c r="C191">
        <v>1</v>
      </c>
      <c r="D191" t="s">
        <v>211</v>
      </c>
      <c r="E191" s="6">
        <v>22.33</v>
      </c>
      <c r="F191" s="9" t="b">
        <v>0</v>
      </c>
      <c r="K191" t="s">
        <v>194</v>
      </c>
      <c r="L191" s="2">
        <v>2648</v>
      </c>
    </row>
    <row r="192" spans="1:12" x14ac:dyDescent="0.25">
      <c r="A192" t="s">
        <v>31</v>
      </c>
      <c r="B192">
        <v>54</v>
      </c>
      <c r="C192">
        <v>2</v>
      </c>
      <c r="D192" t="s">
        <v>212</v>
      </c>
      <c r="E192" s="6">
        <v>22.08</v>
      </c>
      <c r="F192" s="9" t="b">
        <v>0</v>
      </c>
      <c r="K192" t="s">
        <v>150</v>
      </c>
      <c r="L192" s="2">
        <v>2616</v>
      </c>
    </row>
    <row r="193" spans="1:12" x14ac:dyDescent="0.25">
      <c r="A193" t="s">
        <v>31</v>
      </c>
      <c r="B193">
        <v>54</v>
      </c>
      <c r="C193">
        <v>4</v>
      </c>
      <c r="D193" t="s">
        <v>213</v>
      </c>
      <c r="E193" s="6">
        <v>21.57</v>
      </c>
      <c r="F193" s="9" t="b">
        <v>0</v>
      </c>
      <c r="K193" t="s">
        <v>122</v>
      </c>
      <c r="L193" s="2">
        <v>2548</v>
      </c>
    </row>
    <row r="194" spans="1:12" x14ac:dyDescent="0.25">
      <c r="A194" t="s">
        <v>31</v>
      </c>
      <c r="B194">
        <v>54</v>
      </c>
      <c r="C194">
        <v>5</v>
      </c>
      <c r="D194" t="s">
        <v>214</v>
      </c>
      <c r="E194" s="6">
        <v>21.27</v>
      </c>
      <c r="F194" s="9" t="b">
        <v>0</v>
      </c>
      <c r="K194" t="s">
        <v>176</v>
      </c>
      <c r="L194" s="2">
        <v>2508</v>
      </c>
    </row>
    <row r="195" spans="1:12" x14ac:dyDescent="0.25">
      <c r="A195" t="s">
        <v>31</v>
      </c>
      <c r="B195">
        <v>54</v>
      </c>
      <c r="C195">
        <v>6</v>
      </c>
      <c r="D195" t="s">
        <v>215</v>
      </c>
      <c r="E195" s="6">
        <v>20.98</v>
      </c>
      <c r="F195" s="9" t="b">
        <v>0</v>
      </c>
      <c r="K195" t="s">
        <v>176</v>
      </c>
      <c r="L195" s="2">
        <v>2472</v>
      </c>
    </row>
    <row r="196" spans="1:12" x14ac:dyDescent="0.25">
      <c r="A196" t="s">
        <v>31</v>
      </c>
      <c r="B196">
        <v>54</v>
      </c>
      <c r="C196">
        <v>7</v>
      </c>
      <c r="D196" t="s">
        <v>216</v>
      </c>
      <c r="E196" s="6">
        <v>20.71</v>
      </c>
      <c r="F196" s="9" t="b">
        <v>0</v>
      </c>
      <c r="K196" t="s">
        <v>146</v>
      </c>
      <c r="L196" s="2">
        <v>2432</v>
      </c>
    </row>
    <row r="197" spans="1:12" x14ac:dyDescent="0.25">
      <c r="A197" t="s">
        <v>31</v>
      </c>
      <c r="B197">
        <v>54</v>
      </c>
      <c r="C197">
        <v>8</v>
      </c>
      <c r="D197" t="s">
        <v>217</v>
      </c>
      <c r="E197" s="6">
        <v>20.43</v>
      </c>
      <c r="F197" s="9" t="b">
        <v>0</v>
      </c>
      <c r="K197" t="s">
        <v>172</v>
      </c>
      <c r="L197" s="2">
        <v>2408</v>
      </c>
    </row>
    <row r="198" spans="1:12" x14ac:dyDescent="0.25">
      <c r="A198" t="s">
        <v>31</v>
      </c>
      <c r="B198">
        <v>54</v>
      </c>
      <c r="C198">
        <v>9</v>
      </c>
      <c r="D198" t="s">
        <v>218</v>
      </c>
      <c r="E198" s="6">
        <v>20.13</v>
      </c>
      <c r="F198" s="9" t="b">
        <v>0</v>
      </c>
      <c r="K198" t="s">
        <v>194</v>
      </c>
      <c r="L198" s="2">
        <v>2378</v>
      </c>
    </row>
    <row r="199" spans="1:12" x14ac:dyDescent="0.25">
      <c r="A199" t="s">
        <v>31</v>
      </c>
      <c r="B199">
        <v>55</v>
      </c>
      <c r="C199">
        <v>1</v>
      </c>
      <c r="D199" t="str">
        <f t="shared" ref="D199" si="2">A199&amp;" "&amp;B199&amp;":"&amp;C199</f>
        <v>TG 55:1</v>
      </c>
      <c r="E199" s="6">
        <v>22.45</v>
      </c>
      <c r="F199" s="9" t="b">
        <v>0</v>
      </c>
    </row>
    <row r="200" spans="1:12" x14ac:dyDescent="0.25">
      <c r="A200" t="s">
        <v>31</v>
      </c>
      <c r="B200">
        <v>55</v>
      </c>
      <c r="C200">
        <v>2</v>
      </c>
      <c r="D200" t="s">
        <v>219</v>
      </c>
      <c r="E200" s="6">
        <v>22.23</v>
      </c>
      <c r="F200" s="9" t="b">
        <v>0</v>
      </c>
      <c r="K200" t="s">
        <v>172</v>
      </c>
      <c r="L200" s="2">
        <v>2636</v>
      </c>
    </row>
    <row r="201" spans="1:12" x14ac:dyDescent="0.25">
      <c r="A201" t="s">
        <v>31</v>
      </c>
      <c r="B201">
        <v>55</v>
      </c>
      <c r="C201">
        <v>3</v>
      </c>
      <c r="D201" t="str">
        <f t="shared" ref="D201:D234" si="3">A201&amp;" "&amp;B201&amp;":"&amp;C201</f>
        <v>TG 55:3</v>
      </c>
      <c r="E201" s="6">
        <v>22</v>
      </c>
      <c r="F201" s="9" t="b">
        <v>0</v>
      </c>
    </row>
    <row r="202" spans="1:12" x14ac:dyDescent="0.25">
      <c r="A202" t="s">
        <v>31</v>
      </c>
      <c r="B202">
        <v>55</v>
      </c>
      <c r="C202">
        <v>4</v>
      </c>
      <c r="D202" t="str">
        <f t="shared" si="3"/>
        <v>TG 55:4</v>
      </c>
      <c r="E202" s="6">
        <v>21.72</v>
      </c>
      <c r="F202" s="9" t="b">
        <v>0</v>
      </c>
    </row>
    <row r="203" spans="1:12" x14ac:dyDescent="0.25">
      <c r="A203" t="s">
        <v>31</v>
      </c>
      <c r="B203">
        <v>55</v>
      </c>
      <c r="C203">
        <v>5</v>
      </c>
      <c r="D203" t="str">
        <f t="shared" si="3"/>
        <v>TG 55:5</v>
      </c>
      <c r="E203" s="6">
        <v>21.43</v>
      </c>
      <c r="F203" s="9" t="b">
        <v>0</v>
      </c>
    </row>
    <row r="204" spans="1:12" x14ac:dyDescent="0.25">
      <c r="A204" t="s">
        <v>31</v>
      </c>
      <c r="B204">
        <v>55</v>
      </c>
      <c r="C204">
        <v>6</v>
      </c>
      <c r="D204" t="str">
        <f t="shared" si="3"/>
        <v>TG 55:6</v>
      </c>
      <c r="E204" s="6">
        <v>21.16</v>
      </c>
      <c r="F204" s="9" t="b">
        <v>0</v>
      </c>
    </row>
    <row r="205" spans="1:12" x14ac:dyDescent="0.25">
      <c r="A205" t="s">
        <v>31</v>
      </c>
      <c r="B205">
        <v>55</v>
      </c>
      <c r="C205">
        <v>7</v>
      </c>
      <c r="D205" t="str">
        <f t="shared" si="3"/>
        <v>TG 55:7</v>
      </c>
      <c r="E205" s="6">
        <v>20.76</v>
      </c>
      <c r="F205" s="9" t="b">
        <v>0</v>
      </c>
    </row>
    <row r="206" spans="1:12" x14ac:dyDescent="0.25">
      <c r="A206" t="s">
        <v>31</v>
      </c>
      <c r="B206">
        <v>56</v>
      </c>
      <c r="C206">
        <v>0</v>
      </c>
      <c r="D206" t="str">
        <f t="shared" si="3"/>
        <v>TG 56:0</v>
      </c>
      <c r="E206" s="6">
        <v>22.78</v>
      </c>
      <c r="F206" s="9" t="b">
        <v>0</v>
      </c>
    </row>
    <row r="207" spans="1:12" x14ac:dyDescent="0.25">
      <c r="A207" t="s">
        <v>31</v>
      </c>
      <c r="B207">
        <v>56</v>
      </c>
      <c r="C207">
        <v>1</v>
      </c>
      <c r="D207" t="s">
        <v>220</v>
      </c>
      <c r="E207" s="6">
        <v>22.57</v>
      </c>
      <c r="F207" s="9" t="b">
        <v>0</v>
      </c>
      <c r="K207" t="s">
        <v>126</v>
      </c>
      <c r="L207" s="2">
        <v>2662</v>
      </c>
    </row>
    <row r="208" spans="1:12" x14ac:dyDescent="0.25">
      <c r="A208" t="s">
        <v>31</v>
      </c>
      <c r="B208">
        <v>56</v>
      </c>
      <c r="C208">
        <v>2</v>
      </c>
      <c r="D208" t="s">
        <v>221</v>
      </c>
      <c r="E208" s="6">
        <v>22.35</v>
      </c>
      <c r="F208" s="9" t="b">
        <v>0</v>
      </c>
      <c r="K208" t="s">
        <v>125</v>
      </c>
      <c r="L208" s="2">
        <v>2646</v>
      </c>
    </row>
    <row r="209" spans="1:12" x14ac:dyDescent="0.25">
      <c r="A209" t="s">
        <v>31</v>
      </c>
      <c r="B209">
        <v>56</v>
      </c>
      <c r="C209">
        <v>3</v>
      </c>
      <c r="D209" t="s">
        <v>222</v>
      </c>
      <c r="E209" s="6">
        <v>22.13</v>
      </c>
      <c r="F209" s="9" t="b">
        <v>0</v>
      </c>
      <c r="K209" t="s">
        <v>172</v>
      </c>
      <c r="L209" s="2">
        <v>2624</v>
      </c>
    </row>
    <row r="210" spans="1:12" x14ac:dyDescent="0.25">
      <c r="A210" t="s">
        <v>31</v>
      </c>
      <c r="B210">
        <v>56</v>
      </c>
      <c r="C210">
        <v>4</v>
      </c>
      <c r="D210" t="s">
        <v>223</v>
      </c>
      <c r="E210" s="6">
        <v>21.88</v>
      </c>
      <c r="F210" s="9" t="b">
        <v>0</v>
      </c>
      <c r="K210" t="s">
        <v>122</v>
      </c>
      <c r="L210" s="2">
        <v>2596</v>
      </c>
    </row>
    <row r="211" spans="1:12" x14ac:dyDescent="0.25">
      <c r="A211" t="s">
        <v>31</v>
      </c>
      <c r="B211">
        <v>56</v>
      </c>
      <c r="C211">
        <v>5</v>
      </c>
      <c r="D211" t="s">
        <v>224</v>
      </c>
      <c r="E211" s="6">
        <v>21.62</v>
      </c>
      <c r="F211" s="9" t="b">
        <v>0</v>
      </c>
      <c r="K211" t="s">
        <v>125</v>
      </c>
      <c r="L211" s="2">
        <v>2570</v>
      </c>
    </row>
    <row r="212" spans="1:12" x14ac:dyDescent="0.25">
      <c r="A212" t="s">
        <v>31</v>
      </c>
      <c r="B212">
        <v>56</v>
      </c>
      <c r="C212">
        <v>6</v>
      </c>
      <c r="D212" t="str">
        <f t="shared" si="3"/>
        <v>TG 56:6</v>
      </c>
      <c r="E212" s="6">
        <v>21.32</v>
      </c>
      <c r="F212" s="9" t="b">
        <v>0</v>
      </c>
    </row>
    <row r="213" spans="1:12" x14ac:dyDescent="0.25">
      <c r="A213" t="s">
        <v>31</v>
      </c>
      <c r="B213">
        <v>57</v>
      </c>
      <c r="C213">
        <v>1</v>
      </c>
      <c r="D213" t="s">
        <v>226</v>
      </c>
      <c r="E213" s="6">
        <v>22.68</v>
      </c>
      <c r="F213" s="9" t="b">
        <v>0</v>
      </c>
      <c r="K213" t="s">
        <v>146</v>
      </c>
      <c r="L213" s="2">
        <v>2678</v>
      </c>
    </row>
    <row r="214" spans="1:12" x14ac:dyDescent="0.25">
      <c r="A214" t="s">
        <v>31</v>
      </c>
      <c r="B214">
        <v>57</v>
      </c>
      <c r="C214">
        <v>2</v>
      </c>
      <c r="D214" t="s">
        <v>227</v>
      </c>
      <c r="E214" s="6">
        <v>22.48</v>
      </c>
      <c r="F214" s="9" t="b">
        <v>0</v>
      </c>
      <c r="K214" t="s">
        <v>152</v>
      </c>
      <c r="L214" s="2">
        <v>2664</v>
      </c>
    </row>
    <row r="215" spans="1:12" x14ac:dyDescent="0.25">
      <c r="A215" t="s">
        <v>31</v>
      </c>
      <c r="B215">
        <v>57</v>
      </c>
      <c r="C215">
        <v>3</v>
      </c>
      <c r="D215" t="s">
        <v>228</v>
      </c>
      <c r="E215" s="6">
        <v>22.27</v>
      </c>
      <c r="F215" s="9" t="b">
        <v>0</v>
      </c>
      <c r="K215" t="s">
        <v>146</v>
      </c>
      <c r="L215" s="2">
        <v>2626</v>
      </c>
    </row>
    <row r="216" spans="1:12" x14ac:dyDescent="0.25">
      <c r="A216" t="s">
        <v>31</v>
      </c>
      <c r="B216">
        <v>57</v>
      </c>
      <c r="C216">
        <v>4</v>
      </c>
      <c r="D216" t="s">
        <v>229</v>
      </c>
      <c r="E216" s="6">
        <v>22.02</v>
      </c>
      <c r="F216" s="9" t="b">
        <v>0</v>
      </c>
      <c r="K216" t="s">
        <v>185</v>
      </c>
      <c r="L216" s="2">
        <v>2612</v>
      </c>
    </row>
    <row r="217" spans="1:12" x14ac:dyDescent="0.25">
      <c r="A217" t="s">
        <v>31</v>
      </c>
      <c r="B217">
        <v>58</v>
      </c>
      <c r="C217">
        <v>1</v>
      </c>
      <c r="D217" t="s">
        <v>230</v>
      </c>
      <c r="E217" s="6">
        <v>22.8</v>
      </c>
      <c r="F217" s="9" t="b">
        <v>0</v>
      </c>
      <c r="K217" t="s">
        <v>149</v>
      </c>
      <c r="L217" s="2">
        <v>2698</v>
      </c>
    </row>
    <row r="218" spans="1:12" x14ac:dyDescent="0.25">
      <c r="A218" t="s">
        <v>31</v>
      </c>
      <c r="B218">
        <v>58</v>
      </c>
      <c r="C218">
        <v>2</v>
      </c>
      <c r="D218" t="s">
        <v>231</v>
      </c>
      <c r="E218" s="6">
        <v>22.58</v>
      </c>
      <c r="F218" s="9" t="b">
        <v>0</v>
      </c>
      <c r="K218" t="s">
        <v>176</v>
      </c>
      <c r="L218" s="2">
        <v>2664</v>
      </c>
    </row>
    <row r="219" spans="1:12" x14ac:dyDescent="0.25">
      <c r="A219" t="s">
        <v>31</v>
      </c>
      <c r="B219">
        <v>58</v>
      </c>
      <c r="C219">
        <v>3</v>
      </c>
      <c r="D219" t="s">
        <v>232</v>
      </c>
      <c r="E219" s="6">
        <v>22.38</v>
      </c>
      <c r="F219" s="9" t="b">
        <v>0</v>
      </c>
      <c r="K219" t="s">
        <v>150</v>
      </c>
      <c r="L219" s="2">
        <v>2638</v>
      </c>
    </row>
    <row r="220" spans="1:12" x14ac:dyDescent="0.25">
      <c r="A220" t="s">
        <v>31</v>
      </c>
      <c r="B220">
        <v>58</v>
      </c>
      <c r="C220">
        <v>4</v>
      </c>
      <c r="D220" t="s">
        <v>233</v>
      </c>
      <c r="E220" s="6">
        <v>22.16</v>
      </c>
      <c r="F220" s="9" t="b">
        <v>0</v>
      </c>
      <c r="K220" t="s">
        <v>149</v>
      </c>
      <c r="L220" s="2">
        <v>2624</v>
      </c>
    </row>
    <row r="221" spans="1:12" x14ac:dyDescent="0.25">
      <c r="A221" t="s">
        <v>31</v>
      </c>
      <c r="B221">
        <v>58</v>
      </c>
      <c r="C221">
        <v>5</v>
      </c>
      <c r="D221" t="s">
        <v>234</v>
      </c>
      <c r="E221" s="6">
        <v>21.95</v>
      </c>
      <c r="F221" s="9" t="b">
        <v>0</v>
      </c>
      <c r="K221" t="s">
        <v>152</v>
      </c>
      <c r="L221" s="2">
        <v>2610</v>
      </c>
    </row>
    <row r="222" spans="1:12" x14ac:dyDescent="0.25">
      <c r="A222" t="s">
        <v>31</v>
      </c>
      <c r="B222">
        <v>59</v>
      </c>
      <c r="C222">
        <v>2</v>
      </c>
      <c r="D222" t="s">
        <v>235</v>
      </c>
      <c r="E222" s="6">
        <v>22.69</v>
      </c>
      <c r="F222" s="9" t="b">
        <v>0</v>
      </c>
      <c r="K222" t="s">
        <v>174</v>
      </c>
      <c r="L222" s="2">
        <v>2694</v>
      </c>
    </row>
    <row r="223" spans="1:12" x14ac:dyDescent="0.25">
      <c r="A223" t="s">
        <v>31</v>
      </c>
      <c r="B223">
        <v>59</v>
      </c>
      <c r="C223">
        <v>3</v>
      </c>
      <c r="D223" t="s">
        <v>236</v>
      </c>
      <c r="E223" s="6">
        <v>22.49</v>
      </c>
      <c r="F223" s="9" t="b">
        <v>0</v>
      </c>
      <c r="K223" t="s">
        <v>176</v>
      </c>
      <c r="L223" s="2">
        <v>2662</v>
      </c>
    </row>
    <row r="224" spans="1:12" x14ac:dyDescent="0.25">
      <c r="A224" t="s">
        <v>31</v>
      </c>
      <c r="B224">
        <v>59</v>
      </c>
      <c r="C224">
        <v>4</v>
      </c>
      <c r="D224" t="s">
        <v>237</v>
      </c>
      <c r="E224" s="6">
        <v>22.29</v>
      </c>
      <c r="F224" s="9" t="b">
        <v>0</v>
      </c>
      <c r="K224" t="s">
        <v>190</v>
      </c>
      <c r="L224" s="2">
        <v>2650</v>
      </c>
    </row>
    <row r="225" spans="1:12" x14ac:dyDescent="0.25">
      <c r="A225" t="s">
        <v>31</v>
      </c>
      <c r="B225">
        <v>59</v>
      </c>
      <c r="C225">
        <v>5</v>
      </c>
      <c r="D225" t="str">
        <f t="shared" si="3"/>
        <v>TG 59:5</v>
      </c>
      <c r="E225" s="6">
        <v>22.09</v>
      </c>
      <c r="F225" s="9" t="b">
        <v>0</v>
      </c>
    </row>
    <row r="226" spans="1:12" x14ac:dyDescent="0.25">
      <c r="A226" t="s">
        <v>31</v>
      </c>
      <c r="B226">
        <v>60</v>
      </c>
      <c r="C226">
        <v>2</v>
      </c>
      <c r="D226" t="s">
        <v>238</v>
      </c>
      <c r="E226" s="6">
        <v>22.81</v>
      </c>
      <c r="F226" s="9" t="b">
        <v>0</v>
      </c>
      <c r="K226" t="s">
        <v>148</v>
      </c>
      <c r="L226" s="2">
        <v>2698</v>
      </c>
    </row>
    <row r="227" spans="1:12" x14ac:dyDescent="0.25">
      <c r="A227" t="s">
        <v>31</v>
      </c>
      <c r="B227">
        <v>60</v>
      </c>
      <c r="C227">
        <v>3</v>
      </c>
      <c r="D227" t="s">
        <v>239</v>
      </c>
      <c r="E227" s="6">
        <v>22.61</v>
      </c>
      <c r="F227" s="9" t="b">
        <v>0</v>
      </c>
      <c r="K227" t="s">
        <v>194</v>
      </c>
      <c r="L227" s="2">
        <v>2680</v>
      </c>
    </row>
    <row r="228" spans="1:12" x14ac:dyDescent="0.25">
      <c r="A228" t="s">
        <v>31</v>
      </c>
      <c r="B228">
        <v>60</v>
      </c>
      <c r="C228">
        <v>4</v>
      </c>
      <c r="D228" t="s">
        <v>240</v>
      </c>
      <c r="E228" s="6">
        <v>22.41</v>
      </c>
      <c r="F228" s="9" t="b">
        <v>0</v>
      </c>
      <c r="K228" t="s">
        <v>190</v>
      </c>
      <c r="L228" s="2">
        <v>2666</v>
      </c>
    </row>
    <row r="229" spans="1:12" x14ac:dyDescent="0.25">
      <c r="A229" t="s">
        <v>31</v>
      </c>
      <c r="B229">
        <v>60</v>
      </c>
      <c r="C229">
        <v>5</v>
      </c>
      <c r="D229" t="s">
        <v>241</v>
      </c>
      <c r="E229" s="6">
        <v>22.22</v>
      </c>
      <c r="F229" s="9" t="b">
        <v>0</v>
      </c>
      <c r="K229" t="s">
        <v>149</v>
      </c>
      <c r="L229" s="2">
        <v>2632</v>
      </c>
    </row>
    <row r="230" spans="1:12" x14ac:dyDescent="0.25">
      <c r="A230" t="s">
        <v>31</v>
      </c>
      <c r="B230">
        <v>60</v>
      </c>
      <c r="C230">
        <v>6</v>
      </c>
      <c r="D230" t="str">
        <f t="shared" si="3"/>
        <v>TG 60:6</v>
      </c>
      <c r="E230" s="6">
        <v>22.02</v>
      </c>
      <c r="F230" s="9" t="b">
        <v>0</v>
      </c>
    </row>
    <row r="231" spans="1:12" x14ac:dyDescent="0.25">
      <c r="A231" t="s">
        <v>31</v>
      </c>
      <c r="B231">
        <v>61</v>
      </c>
      <c r="C231">
        <v>2</v>
      </c>
      <c r="D231" t="str">
        <f t="shared" si="3"/>
        <v>TG 61:2</v>
      </c>
      <c r="E231" s="6">
        <v>22.9</v>
      </c>
      <c r="F231" s="9" t="b">
        <v>0</v>
      </c>
    </row>
    <row r="232" spans="1:12" x14ac:dyDescent="0.25">
      <c r="A232" t="s">
        <v>31</v>
      </c>
      <c r="B232">
        <v>61</v>
      </c>
      <c r="C232">
        <v>4</v>
      </c>
      <c r="D232" t="str">
        <f t="shared" si="3"/>
        <v>TG 61:4</v>
      </c>
      <c r="E232" s="6">
        <v>22.52</v>
      </c>
      <c r="F232" s="9" t="b">
        <v>0</v>
      </c>
    </row>
    <row r="233" spans="1:12" x14ac:dyDescent="0.25">
      <c r="A233" t="s">
        <v>31</v>
      </c>
      <c r="B233">
        <v>62</v>
      </c>
      <c r="C233">
        <v>2</v>
      </c>
      <c r="D233" t="str">
        <f t="shared" si="3"/>
        <v>TG 62:2</v>
      </c>
      <c r="E233" s="6">
        <v>23.01</v>
      </c>
      <c r="F233" s="9" t="b">
        <v>0</v>
      </c>
    </row>
    <row r="234" spans="1:12" x14ac:dyDescent="0.25">
      <c r="A234" t="s">
        <v>31</v>
      </c>
      <c r="B234">
        <v>62</v>
      </c>
      <c r="C234">
        <v>4</v>
      </c>
      <c r="D234" t="str">
        <f t="shared" si="3"/>
        <v>TG 62:4</v>
      </c>
      <c r="E234" s="6">
        <v>22.64</v>
      </c>
      <c r="F234" s="9" t="b">
        <v>0</v>
      </c>
    </row>
  </sheetData>
  <autoFilter ref="A1:L142" xr:uid="{147213B5-EE2A-48F5-B604-A0A0D2D7B298}"/>
  <sortState xmlns:xlrd2="http://schemas.microsoft.com/office/spreadsheetml/2017/richdata2" ref="A30:L108">
    <sortCondition ref="A1:A108"/>
  </sortState>
  <phoneticPr fontId="1" type="noConversion"/>
  <conditionalFormatting sqref="D1:D28 D32:D63 D65:D66 D70:D137 D139:D1048576">
    <cfRule type="duplicateValues" dxfId="16" priority="25"/>
  </conditionalFormatting>
  <conditionalFormatting sqref="D138">
    <cfRule type="duplicateValues" dxfId="15" priority="1"/>
  </conditionalFormatting>
  <conditionalFormatting sqref="F1:F1048576">
    <cfRule type="cellIs" dxfId="14" priority="3" operator="equal">
      <formula>"IS"</formula>
    </cfRule>
    <cfRule type="cellIs" dxfId="13" priority="23" operator="equal">
      <formula>TRUE</formula>
    </cfRule>
  </conditionalFormatting>
  <conditionalFormatting sqref="G15">
    <cfRule type="duplicateValues" dxfId="12" priority="7"/>
  </conditionalFormatting>
  <conditionalFormatting sqref="G21:G22">
    <cfRule type="containsText" dxfId="11" priority="11" operator="containsText" text="tr">
      <formula>NOT(ISERROR(SEARCH("tr",G21)))</formula>
    </cfRule>
  </conditionalFormatting>
  <conditionalFormatting sqref="G46:G54">
    <cfRule type="duplicateValues" dxfId="10" priority="35"/>
  </conditionalFormatting>
  <conditionalFormatting sqref="G55:G63">
    <cfRule type="duplicateValues" dxfId="9" priority="24"/>
  </conditionalFormatting>
  <conditionalFormatting sqref="G75">
    <cfRule type="duplicateValues" dxfId="8" priority="22"/>
  </conditionalFormatting>
  <conditionalFormatting sqref="G76">
    <cfRule type="duplicateValues" dxfId="7" priority="21"/>
  </conditionalFormatting>
  <conditionalFormatting sqref="G77">
    <cfRule type="duplicateValues" dxfId="6" priority="20"/>
  </conditionalFormatting>
  <conditionalFormatting sqref="G78:G79">
    <cfRule type="duplicateValues" dxfId="5" priority="18"/>
  </conditionalFormatting>
  <conditionalFormatting sqref="G81:G88">
    <cfRule type="duplicateValues" dxfId="4" priority="19"/>
  </conditionalFormatting>
  <conditionalFormatting sqref="G93">
    <cfRule type="duplicateValues" dxfId="3" priority="17"/>
  </conditionalFormatting>
  <conditionalFormatting sqref="G94">
    <cfRule type="duplicateValues" dxfId="2" priority="16"/>
  </conditionalFormatting>
  <conditionalFormatting sqref="G137">
    <cfRule type="duplicateValues" dxfId="1" priority="6"/>
  </conditionalFormatting>
  <conditionalFormatting sqref="G138">
    <cfRule type="duplicateValues" dxfId="0" priority="5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8AF7-21E5-420D-B45D-AB79E2CD2827}">
  <dimension ref="A1:J31"/>
  <sheetViews>
    <sheetView workbookViewId="0">
      <selection activeCell="B18" sqref="B18"/>
    </sheetView>
  </sheetViews>
  <sheetFormatPr defaultRowHeight="15" x14ac:dyDescent="0.25"/>
  <cols>
    <col min="1" max="1" width="8.85546875" style="1"/>
  </cols>
  <sheetData>
    <row r="1" spans="1:3" x14ac:dyDescent="0.25">
      <c r="A1" s="1" t="s">
        <v>5</v>
      </c>
      <c r="B1" t="s">
        <v>2</v>
      </c>
      <c r="C1" t="s">
        <v>3</v>
      </c>
    </row>
    <row r="2" spans="1:3" s="3" customFormat="1" x14ac:dyDescent="0.25">
      <c r="A2" s="6">
        <v>15.66</v>
      </c>
      <c r="B2" s="5">
        <v>30</v>
      </c>
      <c r="C2" s="5">
        <v>1</v>
      </c>
    </row>
    <row r="3" spans="1:3" s="3" customFormat="1" x14ac:dyDescent="0.25">
      <c r="A3" s="6">
        <v>16.02</v>
      </c>
      <c r="B3" s="5">
        <v>33</v>
      </c>
      <c r="C3" s="5">
        <v>2</v>
      </c>
    </row>
    <row r="4" spans="1:3" s="3" customFormat="1" x14ac:dyDescent="0.25">
      <c r="A4" s="6">
        <v>17.04</v>
      </c>
      <c r="B4" s="5">
        <v>34</v>
      </c>
      <c r="C4" s="5">
        <v>1</v>
      </c>
    </row>
    <row r="5" spans="1:3" s="3" customFormat="1" x14ac:dyDescent="0.25">
      <c r="A5" s="6">
        <v>16.484999999999999</v>
      </c>
      <c r="B5" s="5">
        <v>34</v>
      </c>
      <c r="C5" s="5">
        <v>2</v>
      </c>
    </row>
    <row r="6" spans="1:3" s="3" customFormat="1" x14ac:dyDescent="0.25">
      <c r="A6" s="6">
        <v>15.69</v>
      </c>
      <c r="B6" s="5">
        <v>34</v>
      </c>
      <c r="C6" s="5">
        <v>3</v>
      </c>
    </row>
    <row r="7" spans="1:3" s="3" customFormat="1" x14ac:dyDescent="0.25">
      <c r="A7" s="7">
        <v>15.87</v>
      </c>
      <c r="B7" s="5">
        <v>34</v>
      </c>
      <c r="C7" s="5">
        <v>3</v>
      </c>
    </row>
    <row r="8" spans="1:3" s="3" customFormat="1" x14ac:dyDescent="0.25">
      <c r="A8" s="7">
        <v>15.08</v>
      </c>
      <c r="B8" s="5">
        <v>34</v>
      </c>
      <c r="C8" s="5">
        <v>4</v>
      </c>
    </row>
    <row r="9" spans="1:3" s="3" customFormat="1" x14ac:dyDescent="0.25">
      <c r="A9" s="7">
        <v>16.86</v>
      </c>
      <c r="B9" s="5">
        <v>35</v>
      </c>
      <c r="C9" s="5">
        <v>2</v>
      </c>
    </row>
    <row r="10" spans="1:3" s="3" customFormat="1" x14ac:dyDescent="0.25">
      <c r="A10" s="7">
        <v>17.810000000000002</v>
      </c>
      <c r="B10" s="5">
        <v>36</v>
      </c>
      <c r="C10" s="5">
        <v>1</v>
      </c>
    </row>
    <row r="11" spans="1:3" s="3" customFormat="1" x14ac:dyDescent="0.25">
      <c r="A11" s="6">
        <v>17.28</v>
      </c>
      <c r="B11" s="5">
        <v>36</v>
      </c>
      <c r="C11" s="5">
        <v>2</v>
      </c>
    </row>
    <row r="12" spans="1:3" s="3" customFormat="1" x14ac:dyDescent="0.25">
      <c r="A12" s="7">
        <v>16.55</v>
      </c>
      <c r="B12" s="5">
        <v>36</v>
      </c>
      <c r="C12" s="5">
        <v>3</v>
      </c>
    </row>
    <row r="13" spans="1:3" s="3" customFormat="1" x14ac:dyDescent="0.25">
      <c r="A13" s="7">
        <v>16.75</v>
      </c>
      <c r="B13" s="5">
        <v>36</v>
      </c>
      <c r="C13" s="5">
        <v>3</v>
      </c>
    </row>
    <row r="14" spans="1:3" s="3" customFormat="1" x14ac:dyDescent="0.25">
      <c r="A14" s="7">
        <v>15.93</v>
      </c>
      <c r="B14" s="5">
        <v>36</v>
      </c>
      <c r="C14" s="5">
        <v>4</v>
      </c>
    </row>
    <row r="15" spans="1:3" s="3" customFormat="1" x14ac:dyDescent="0.25">
      <c r="A15" s="7">
        <v>15.33</v>
      </c>
      <c r="B15" s="5">
        <v>36</v>
      </c>
      <c r="C15" s="5">
        <v>5</v>
      </c>
    </row>
    <row r="16" spans="1:3" x14ac:dyDescent="0.25">
      <c r="A16" s="7">
        <v>14.74</v>
      </c>
      <c r="B16" s="5">
        <v>36</v>
      </c>
      <c r="C16" s="5">
        <v>6</v>
      </c>
    </row>
    <row r="17" spans="1:10" x14ac:dyDescent="0.25">
      <c r="A17" s="1">
        <v>16.239999999999998</v>
      </c>
      <c r="B17">
        <v>30</v>
      </c>
      <c r="C17">
        <v>0</v>
      </c>
    </row>
    <row r="19" spans="1:10" x14ac:dyDescent="0.25">
      <c r="B19" s="5"/>
      <c r="C19" s="5"/>
    </row>
    <row r="21" spans="1:10" x14ac:dyDescent="0.25">
      <c r="J21" s="1"/>
    </row>
    <row r="22" spans="1:10" x14ac:dyDescent="0.25">
      <c r="J22" s="1"/>
    </row>
    <row r="23" spans="1:10" x14ac:dyDescent="0.25">
      <c r="J23" s="1"/>
    </row>
    <row r="24" spans="1:10" x14ac:dyDescent="0.25">
      <c r="J24" s="1"/>
    </row>
    <row r="25" spans="1:10" x14ac:dyDescent="0.25">
      <c r="J25" s="1"/>
    </row>
    <row r="26" spans="1:10" x14ac:dyDescent="0.25">
      <c r="J26" s="1"/>
    </row>
    <row r="31" spans="1:10" s="3" customFormat="1" x14ac:dyDescent="0.25">
      <c r="A31" s="4"/>
    </row>
  </sheetData>
  <sortState xmlns:xlrd2="http://schemas.microsoft.com/office/spreadsheetml/2017/richdata2" ref="A11:C29">
    <sortCondition ref="B11:B29"/>
    <sortCondition ref="C11:C29"/>
    <sortCondition ref="A11:A29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KMD</vt:lpstr>
    </vt:vector>
  </TitlesOfParts>
  <Company>Fondazione Edmund Mach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Mar Garcia-Aloy</cp:lastModifiedBy>
  <dcterms:created xsi:type="dcterms:W3CDTF">2023-08-23T13:22:37Z</dcterms:created>
  <dcterms:modified xsi:type="dcterms:W3CDTF">2023-11-07T12:31:35Z</dcterms:modified>
</cp:coreProperties>
</file>