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aalom\Documents\GitHub\IMN2023\data\"/>
    </mc:Choice>
  </mc:AlternateContent>
  <xr:revisionPtr revIDLastSave="0" documentId="13_ncr:1_{46C2B3AC-5929-40F2-8DA0-7AE3B90A388A}" xr6:coauthVersionLast="47" xr6:coauthVersionMax="47" xr10:uidLastSave="{00000000-0000-0000-0000-000000000000}"/>
  <bookViews>
    <workbookView xWindow="-108" yWindow="-108" windowWidth="23256" windowHeight="12576" xr2:uid="{FBC8D854-8049-474B-86D3-FA7ACE4157A3}"/>
  </bookViews>
  <sheets>
    <sheet name="Sheet1" sheetId="1" r:id="rId1"/>
    <sheet name="KMD" sheetId="3" r:id="rId2"/>
  </sheets>
  <definedNames>
    <definedName name="_xlnm._FilterDatabase" localSheetId="0" hidden="1">Sheet1!$A$1:$L$127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74" i="1"/>
  <c r="D71" i="1"/>
  <c r="D32" i="1"/>
  <c r="D28" i="1"/>
  <c r="E27" i="1"/>
  <c r="D27" i="1"/>
  <c r="D26" i="1"/>
  <c r="E127" i="1"/>
  <c r="E126" i="1"/>
  <c r="E125" i="1"/>
  <c r="E123" i="1"/>
  <c r="E121" i="1"/>
  <c r="E120" i="1"/>
  <c r="E119" i="1"/>
  <c r="E118" i="1"/>
  <c r="E113" i="1"/>
  <c r="E112" i="1"/>
  <c r="E111" i="1"/>
  <c r="E110" i="1"/>
  <c r="E109" i="1"/>
  <c r="E108" i="1"/>
  <c r="E107" i="1"/>
  <c r="E103" i="1"/>
  <c r="E101" i="1"/>
  <c r="E100" i="1"/>
  <c r="E97" i="1"/>
  <c r="E95" i="1"/>
  <c r="E94" i="1"/>
  <c r="E93" i="1"/>
  <c r="E92" i="1"/>
  <c r="E91" i="1"/>
  <c r="E90" i="1"/>
  <c r="E89" i="1"/>
  <c r="E88" i="1"/>
  <c r="E87" i="1"/>
  <c r="E80" i="1"/>
  <c r="E79" i="1"/>
  <c r="E78" i="1"/>
  <c r="E77" i="1"/>
  <c r="E76" i="1"/>
  <c r="E73" i="1"/>
  <c r="E72" i="1"/>
  <c r="E70" i="1"/>
  <c r="E69" i="1"/>
  <c r="E68" i="1"/>
  <c r="E67" i="1"/>
  <c r="E66" i="1"/>
  <c r="E65" i="1"/>
  <c r="E64" i="1"/>
  <c r="E63" i="1"/>
  <c r="E62" i="1"/>
  <c r="E61" i="1"/>
  <c r="E58" i="1"/>
  <c r="E60" i="1"/>
  <c r="E57" i="1"/>
  <c r="E56" i="1"/>
  <c r="E55" i="1"/>
  <c r="E54" i="1"/>
  <c r="E53" i="1"/>
  <c r="E52" i="1"/>
  <c r="E51" i="1"/>
  <c r="E50" i="1"/>
  <c r="E49" i="1"/>
  <c r="E48" i="1"/>
  <c r="E47" i="1"/>
  <c r="E41" i="1"/>
  <c r="E40" i="1"/>
  <c r="E39" i="1"/>
  <c r="E38" i="1"/>
  <c r="E37" i="1"/>
  <c r="E33" i="1"/>
  <c r="E31" i="1"/>
  <c r="E30" i="1"/>
  <c r="E29" i="1"/>
  <c r="E25" i="1"/>
  <c r="E102" i="1"/>
  <c r="E10" i="1"/>
  <c r="E6" i="1"/>
  <c r="D119" i="1"/>
  <c r="D118" i="1"/>
  <c r="D112" i="1"/>
  <c r="D111" i="1"/>
  <c r="D108" i="1"/>
  <c r="D107" i="1"/>
  <c r="D106" i="1"/>
  <c r="D101" i="1"/>
  <c r="D100" i="1"/>
  <c r="D95" i="1"/>
  <c r="D91" i="1"/>
  <c r="D89" i="1"/>
  <c r="D88" i="1"/>
  <c r="D78" i="1"/>
  <c r="D77" i="1"/>
  <c r="D76" i="1"/>
  <c r="D73" i="1"/>
  <c r="D72" i="1"/>
  <c r="D70" i="1"/>
  <c r="D69" i="1"/>
  <c r="D68" i="1"/>
  <c r="D60" i="1"/>
  <c r="D58" i="1"/>
  <c r="D52" i="1"/>
  <c r="D51" i="1"/>
  <c r="D50" i="1"/>
  <c r="D48" i="1"/>
  <c r="D47" i="1"/>
  <c r="D41" i="1"/>
  <c r="D39" i="1"/>
  <c r="D42" i="1"/>
  <c r="E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3" i="1"/>
  <c r="D44" i="1"/>
  <c r="D45" i="1"/>
  <c r="D46" i="1"/>
  <c r="D49" i="1"/>
  <c r="D53" i="1"/>
  <c r="D56" i="1"/>
  <c r="D57" i="1"/>
  <c r="D61" i="1"/>
  <c r="D62" i="1"/>
  <c r="D63" i="1"/>
  <c r="D66" i="1"/>
  <c r="D67" i="1"/>
  <c r="D75" i="1"/>
  <c r="D79" i="1"/>
  <c r="D80" i="1"/>
  <c r="D81" i="1"/>
  <c r="D82" i="1"/>
  <c r="D83" i="1"/>
  <c r="D84" i="1"/>
  <c r="D85" i="1"/>
  <c r="D86" i="1"/>
  <c r="D87" i="1"/>
  <c r="D90" i="1"/>
  <c r="D92" i="1"/>
  <c r="D93" i="1"/>
  <c r="D94" i="1"/>
  <c r="D96" i="1"/>
  <c r="D97" i="1"/>
  <c r="D98" i="1"/>
  <c r="D99" i="1"/>
  <c r="D102" i="1"/>
  <c r="D103" i="1"/>
  <c r="D104" i="1"/>
  <c r="D105" i="1"/>
  <c r="D109" i="1"/>
  <c r="D110" i="1"/>
  <c r="D117" i="1"/>
  <c r="D113" i="1"/>
  <c r="D114" i="1"/>
  <c r="D115" i="1"/>
  <c r="D116" i="1"/>
  <c r="D120" i="1"/>
  <c r="D121" i="1"/>
  <c r="D122" i="1"/>
  <c r="D123" i="1"/>
  <c r="D124" i="1"/>
  <c r="D125" i="1"/>
  <c r="D126" i="1"/>
  <c r="D127" i="1"/>
  <c r="E116" i="1"/>
  <c r="E115" i="1"/>
  <c r="E114" i="1"/>
  <c r="E105" i="1"/>
  <c r="E104" i="1"/>
  <c r="E99" i="1"/>
  <c r="E86" i="1"/>
  <c r="E85" i="1"/>
  <c r="E83" i="1"/>
  <c r="E82" i="1"/>
  <c r="E81" i="1"/>
  <c r="E46" i="1"/>
  <c r="E45" i="1"/>
  <c r="E44" i="1"/>
  <c r="E43" i="1"/>
  <c r="E42" i="1"/>
  <c r="E24" i="1"/>
  <c r="E23" i="1"/>
  <c r="E22" i="1"/>
  <c r="E21" i="1"/>
  <c r="E20" i="1"/>
  <c r="E19" i="1"/>
  <c r="E18" i="1"/>
  <c r="E17" i="1"/>
  <c r="E15" i="1"/>
  <c r="D2" i="1" l="1"/>
</calcChain>
</file>

<file path=xl/sharedStrings.xml><?xml version="1.0" encoding="utf-8"?>
<sst xmlns="http://schemas.openxmlformats.org/spreadsheetml/2006/main" count="281" uniqueCount="156">
  <si>
    <t>name</t>
  </si>
  <si>
    <t>class</t>
  </si>
  <si>
    <t>C</t>
  </si>
  <si>
    <t>db</t>
  </si>
  <si>
    <t>PA</t>
  </si>
  <si>
    <t>RT</t>
  </si>
  <si>
    <t>standard</t>
  </si>
  <si>
    <t>comments</t>
  </si>
  <si>
    <t>PC 16:0_18:2</t>
  </si>
  <si>
    <t>PC</t>
  </si>
  <si>
    <t>PI</t>
  </si>
  <si>
    <t>POS_MS2_file</t>
  </si>
  <si>
    <t>POS_MS2_scan</t>
  </si>
  <si>
    <t>NEG_MS2_file</t>
  </si>
  <si>
    <t>NEG_MS2_scan</t>
  </si>
  <si>
    <t>PA 16:0_18:2</t>
  </si>
  <si>
    <t>PI 18:2_18:2</t>
  </si>
  <si>
    <t>PI 16:0_18:2</t>
  </si>
  <si>
    <t>PC 36:3 (I)</t>
  </si>
  <si>
    <t>PC 36:3 (II)</t>
  </si>
  <si>
    <t>FA</t>
  </si>
  <si>
    <t>PS</t>
  </si>
  <si>
    <t>LPC</t>
  </si>
  <si>
    <t>PE</t>
  </si>
  <si>
    <t>PG</t>
  </si>
  <si>
    <t>PG 16:0_18:3</t>
  </si>
  <si>
    <t>PE 16:0_18:2</t>
  </si>
  <si>
    <t>PG 16:0_18:2</t>
  </si>
  <si>
    <t>PE 18:2_18:3</t>
  </si>
  <si>
    <t>PE 18:1_18:2</t>
  </si>
  <si>
    <t>PE 16:0_18:3</t>
  </si>
  <si>
    <t>TG</t>
  </si>
  <si>
    <t>DG</t>
  </si>
  <si>
    <t>DG 18:1_18:1</t>
  </si>
  <si>
    <t>name_std</t>
  </si>
  <si>
    <t>PC 18:1_18:1</t>
  </si>
  <si>
    <t>PC 18:2_18:3</t>
  </si>
  <si>
    <t>PI 18:0_18:2</t>
  </si>
  <si>
    <t>PI 18:0_18:3</t>
  </si>
  <si>
    <t>PC 18:1_18:3 / 18:2_18:2</t>
  </si>
  <si>
    <t>PA 18:1_18:3 / 18:2_18:2</t>
  </si>
  <si>
    <t>PE 18:1_18:1</t>
  </si>
  <si>
    <t>PE 18:1_18:3 / PE 18:2_18:2</t>
  </si>
  <si>
    <t>PG 18:1_18:2</t>
  </si>
  <si>
    <t>PS 18:1_18:2</t>
  </si>
  <si>
    <t>PG 18:1_18:3 / PG 18:2_18:2</t>
  </si>
  <si>
    <t>PS 16:0_18:2</t>
  </si>
  <si>
    <t>PS 18:1_18:3 / PS 18:2_18:2</t>
  </si>
  <si>
    <t>LPC 16:0</t>
  </si>
  <si>
    <t>LPC 18:0</t>
  </si>
  <si>
    <t>LPC 18:1</t>
  </si>
  <si>
    <t>LPC 18:2</t>
  </si>
  <si>
    <t>LPI</t>
  </si>
  <si>
    <t>LPI 16:0</t>
  </si>
  <si>
    <t>LPI 18:0</t>
  </si>
  <si>
    <t>LPI 18:1</t>
  </si>
  <si>
    <t>LPI 18:2</t>
  </si>
  <si>
    <t>LPC 18:3</t>
  </si>
  <si>
    <t>FA 14:0</t>
  </si>
  <si>
    <t>FA 14:1</t>
  </si>
  <si>
    <t>FA 16:0</t>
  </si>
  <si>
    <t>FA 16:1</t>
  </si>
  <si>
    <t>FA 18:0</t>
  </si>
  <si>
    <t>FA 18:1</t>
  </si>
  <si>
    <t>FA 18:2</t>
  </si>
  <si>
    <t>FA 18:3</t>
  </si>
  <si>
    <t>FA 20:0</t>
  </si>
  <si>
    <t>FA 20:1</t>
  </si>
  <si>
    <t>FA 22:0</t>
  </si>
  <si>
    <t>FA 22:1</t>
  </si>
  <si>
    <t>FA 22:6</t>
  </si>
  <si>
    <t>DGDG</t>
  </si>
  <si>
    <t>DGDG 16:0_18:3</t>
  </si>
  <si>
    <t>DGDG 16:1_18:3</t>
  </si>
  <si>
    <t>DGDG 16:3_18:2</t>
  </si>
  <si>
    <t>DGDG 16:3_18:3</t>
  </si>
  <si>
    <t>DGDG 18:2_18:3</t>
  </si>
  <si>
    <t>DGDG 18:3_18:3</t>
  </si>
  <si>
    <t>MGDG</t>
  </si>
  <si>
    <t>MGDG 16:1_18:3</t>
  </si>
  <si>
    <t>MGDG 16:3_18:2</t>
  </si>
  <si>
    <t>MGDG 16:3_18:3</t>
  </si>
  <si>
    <t>MGDG 18:2_18:3</t>
  </si>
  <si>
    <t>MGDG 18:3_18:3</t>
  </si>
  <si>
    <t>SM</t>
  </si>
  <si>
    <t>SM d18:1/16:0</t>
  </si>
  <si>
    <t>SM d18:1/18:0</t>
  </si>
  <si>
    <t>SM d18:1/20:0</t>
  </si>
  <si>
    <t>SM d18:1/22:0</t>
  </si>
  <si>
    <t>SM d18:1/24:0</t>
  </si>
  <si>
    <t>Cer</t>
  </si>
  <si>
    <t>Cer d18:0/16:0</t>
  </si>
  <si>
    <t>Cer d18:1/16:0</t>
  </si>
  <si>
    <t>HexCer</t>
  </si>
  <si>
    <t>HexCer d18:1/18:0</t>
  </si>
  <si>
    <t>LactCer</t>
  </si>
  <si>
    <t>LactCer d18:1/24:0</t>
  </si>
  <si>
    <t>CAR</t>
  </si>
  <si>
    <t>MG</t>
  </si>
  <si>
    <t>TG 14:0_14:0_14:0</t>
  </si>
  <si>
    <t>TG 16:0_16:0_16:0</t>
  </si>
  <si>
    <t>TG 16:0_16:0_18:2</t>
  </si>
  <si>
    <t>TG 18:0_18:1_18:2</t>
  </si>
  <si>
    <t>LPA</t>
  </si>
  <si>
    <t>LPA 17:0</t>
  </si>
  <si>
    <t>LPG</t>
  </si>
  <si>
    <t>LPG 17:1</t>
  </si>
  <si>
    <t>LPI 17:1</t>
  </si>
  <si>
    <t>LPS</t>
  </si>
  <si>
    <t>LPS 17:1</t>
  </si>
  <si>
    <t>MGDG 16:0_18:0</t>
  </si>
  <si>
    <t>DGDG 18:0_18:0</t>
  </si>
  <si>
    <t>IS</t>
  </si>
  <si>
    <t>CAR 12:0</t>
  </si>
  <si>
    <t>not seen in STD</t>
  </si>
  <si>
    <t>not seen in STD_NEG</t>
  </si>
  <si>
    <t>MG 18:1</t>
  </si>
  <si>
    <t>not seen in STD_POS</t>
  </si>
  <si>
    <t>PA 36:3 (II)</t>
  </si>
  <si>
    <t>PE 36:3 (I)</t>
  </si>
  <si>
    <t>PE 36:3 (II)</t>
  </si>
  <si>
    <t>not seen in POS</t>
  </si>
  <si>
    <t>not seen</t>
  </si>
  <si>
    <t>not seen in NEG / check POS</t>
  </si>
  <si>
    <t>x073_lipidgrape_xx_00_xQC_10_POS_DDA.mzML</t>
  </si>
  <si>
    <t>x064_lipidgrape_xx_00_xQC_01_POS_DDA.mzML</t>
  </si>
  <si>
    <t>x070_lipidgrape_xx_00_xQC_07_POS_DDA.mzML</t>
  </si>
  <si>
    <t>x082_lipidgrape_xx_00_xQC_19_POS_DDA.mzML</t>
  </si>
  <si>
    <t>x067_lipidgrape_xx_00_xQC_04_POS_DDA.mzML</t>
  </si>
  <si>
    <t>17.30' = PE34:1</t>
  </si>
  <si>
    <t>17.15' = PA36:2</t>
  </si>
  <si>
    <t>PA 16:0_18:1</t>
  </si>
  <si>
    <t>x082_lipidgrape_xx_00_xQC_19_NEG_DDA.mzML</t>
  </si>
  <si>
    <t>x077_lipidgrape_xx_00_xQC_14_NEG_DDA.mzML</t>
  </si>
  <si>
    <t>PA 16:0_18:3</t>
  </si>
  <si>
    <t>x073_lipidgrape_xx_00_xQC_10_NEG_DDA.mzML</t>
  </si>
  <si>
    <t>PA 18:0_18:2</t>
  </si>
  <si>
    <t>x074_lipidgrape_xx_00_xQC_11_NEG_DDA.mzML</t>
  </si>
  <si>
    <t>PA 18:1_18:2</t>
  </si>
  <si>
    <t>x071_lipidgrape_xx_00_xQC_08_NEG_DDA.mzML</t>
  </si>
  <si>
    <t>x079_lipidgrape_xx_00_xQC_16_NEG_DDA.mzML</t>
  </si>
  <si>
    <t>PA 18:2_18:2</t>
  </si>
  <si>
    <t>PA 18:2_18:3</t>
  </si>
  <si>
    <t>x075_lipidgrape_xx_00_xQC_12_NEG_DDA.mzML</t>
  </si>
  <si>
    <t>PA 18:3_18:3</t>
  </si>
  <si>
    <t>x072_lipidgrape_xx_00_xQC_09_NEG_DDA.mzML</t>
  </si>
  <si>
    <t>PA 18:2_22:0</t>
  </si>
  <si>
    <t>x065_lipidgrape_xx_00_xQC_02_NEG_DDA.mzML</t>
  </si>
  <si>
    <t>x066_lipidgrape_xx_00_xQC_03_POS_DDA.mzML</t>
  </si>
  <si>
    <t>x080_lipidgrape_xx_00_xQC_17_POS_DDA.mzML</t>
  </si>
  <si>
    <t>x076_lipidgrape_xx_00_xQC_13_POS_DDA.mzML</t>
  </si>
  <si>
    <t>x072_lipidgrape_xx_00_xQC_09_POS_DDA.mzML</t>
  </si>
  <si>
    <t>x069_lipidgrape_xx_00_xQC_06_POS_DDA.mzML</t>
  </si>
  <si>
    <t>x079_lipidgrape_xx_00_xQC_16_POS_DDA.mzML</t>
  </si>
  <si>
    <t>x077_lipidgrape_xx_00_xQC_14_POS_DDA.mzML</t>
  </si>
  <si>
    <t>x071_lipidgrape_xx_00_xQC_08_POS_DDA.mzML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</si>
</sst>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0" fillId="2" borderId="0" xfId="0" applyFill="1"/>
    <xf numFmtId="2" fontId="0" fillId="2" borderId="0" xfId="0" applyNumberFormat="1" applyFill="1"/>
    <xf numFmtId="2" fontId="2" fillId="2" borderId="0" xfId="0" applyNumberFormat="1" applyFont="1" applyFill="1"/>
    <xf numFmtId="2" fontId="3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B773D1-3EEE-4D9C-8156-FD8CA93DF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3BB-43DE-BC9E-8250ABD755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5B70FF-68CE-41FF-B5DD-2426C895B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3BB-43DE-BC9E-8250ABD755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FE9F06-8F9D-450F-9F12-4809E5B3C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3BB-43DE-BC9E-8250ABD755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59FC0E-C859-46CE-A642-AD52889F6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BB-43DE-BC9E-8250ABD755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A48611-CB09-418E-BE65-36472B8ED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BB-43DE-BC9E-8250ABD755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5A9AC6-2DEF-4758-8B56-348E41270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BB-43DE-BC9E-8250ABD755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51AD47-7B06-4922-9653-6CFFF7B06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BB-43DE-BC9E-8250ABD755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0047452-1475-4B91-9C2E-E9437F0AA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3BB-43DE-BC9E-8250ABD755D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42A28AE-F176-492B-A8F2-3574FB106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3BB-43DE-BC9E-8250ABD755D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7C073CE-C0EC-4FD8-9B77-1C92B785A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3BB-43DE-BC9E-8250ABD755D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008ACFC-F22D-4F11-9AC0-CA584D4D2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3BB-43DE-BC9E-8250ABD755D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941E69F-31C4-45C7-AED4-46A250C2C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3BB-43DE-BC9E-8250ABD755D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BD70E05-750F-4764-8B62-03F2A0C17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3BB-43DE-BC9E-8250ABD755D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A085BBA-EE42-4CFC-A636-02F8704F4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3BB-43DE-BC9E-8250ABD755D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2A95343-F15A-4014-84EC-7DF1A99C8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3BB-43DE-BC9E-8250ABD755D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3F8741F-B9FD-43CA-AA04-EC7AEB7C1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3BB-43DE-BC9E-8250ABD755D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3BB-43DE-BC9E-8250ABD755D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3BB-43DE-BC9E-8250ABD755D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3BB-43DE-BC9E-8250ABD755D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3BB-43DE-BC9E-8250ABD755D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3BB-43DE-BC9E-8250ABD755D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3BB-43DE-BC9E-8250ABD755D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3BB-43DE-BC9E-8250ABD755D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3BB-43DE-BC9E-8250ABD755D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3BB-43DE-BC9E-8250ABD755D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3BB-43DE-BC9E-8250ABD755D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3BB-43DE-BC9E-8250ABD755D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3BB-43DE-BC9E-8250ABD755D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3BB-43DE-BC9E-8250ABD755D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3BB-43DE-BC9E-8250ABD755D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3BB-43DE-BC9E-8250ABD755D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3BB-43DE-BC9E-8250ABD755D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3BB-43DE-BC9E-8250ABD755D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3BB-43DE-BC9E-8250ABD755D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3BB-43DE-BC9E-8250ABD755D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3BB-43DE-BC9E-8250ABD7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KMD!$A$2:$A$37</c:f>
              <c:numCache>
                <c:formatCode>0.00</c:formatCode>
                <c:ptCount val="36"/>
                <c:pt idx="0">
                  <c:v>15.66</c:v>
                </c:pt>
                <c:pt idx="1">
                  <c:v>16.02</c:v>
                </c:pt>
                <c:pt idx="2">
                  <c:v>17.04</c:v>
                </c:pt>
                <c:pt idx="3">
                  <c:v>16.484999999999999</c:v>
                </c:pt>
                <c:pt idx="4">
                  <c:v>15.69</c:v>
                </c:pt>
                <c:pt idx="5">
                  <c:v>15.87</c:v>
                </c:pt>
                <c:pt idx="6">
                  <c:v>15.08</c:v>
                </c:pt>
                <c:pt idx="7">
                  <c:v>16.86</c:v>
                </c:pt>
                <c:pt idx="8">
                  <c:v>17.810000000000002</c:v>
                </c:pt>
                <c:pt idx="9">
                  <c:v>17.28</c:v>
                </c:pt>
                <c:pt idx="10">
                  <c:v>16.55</c:v>
                </c:pt>
                <c:pt idx="11">
                  <c:v>16.75</c:v>
                </c:pt>
                <c:pt idx="12">
                  <c:v>15.93</c:v>
                </c:pt>
                <c:pt idx="13">
                  <c:v>15.33</c:v>
                </c:pt>
                <c:pt idx="14">
                  <c:v>14.74</c:v>
                </c:pt>
                <c:pt idx="15">
                  <c:v>16.239999999999998</c:v>
                </c:pt>
              </c:numCache>
            </c:numRef>
          </c:xVal>
          <c:yVal>
            <c:numRef>
              <c:f>KMD!$B$2:$B$37</c:f>
              <c:numCache>
                <c:formatCode>General</c:formatCode>
                <c:ptCount val="36"/>
                <c:pt idx="0">
                  <c:v>30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KMD!$C$2:$C$121</c15:f>
                <c15:dlblRangeCache>
                  <c:ptCount val="120"/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A3BB-43DE-BC9E-8250ABD7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23456"/>
        <c:axId val="402126408"/>
      </c:scatterChart>
      <c:valAx>
        <c:axId val="402123456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6408"/>
        <c:crosses val="autoZero"/>
        <c:crossBetween val="midCat"/>
      </c:valAx>
      <c:valAx>
        <c:axId val="4021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303334</xdr:colOff>
      <xdr:row>0</xdr:row>
      <xdr:rowOff>133350</xdr:rowOff>
    </xdr:from>
    <xdr:to>
      <xdr:col>10</xdr:col>
      <xdr:colOff>608134</xdr:colOff>
      <xdr:row>15</xdr:row>
      <xdr:rowOff>180023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CDCA6-1851-4983-BF22-66C0356DF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13B5-EE2A-48F5-B604-A0A0D2D7B298}">
  <dimension ref="A1:V127"/>
  <sheetViews>
    <sheetView tabSelected="1" workbookViewId="0">
      <pane ySplit="1" topLeftCell="A48" activePane="bottomLeft" state="frozen"/>
      <selection pane="bottomLeft" activeCell="I75" sqref="I75"/>
    </sheetView>
  </sheetViews>
  <sheetFormatPr defaultRowHeight="14.4" x14ac:dyDescent="0.3"/>
  <cols>
    <col min="4" max="4" width="19" customWidth="1"/>
    <col min="5" max="5" width="8.88671875" style="1"/>
    <col min="6" max="6" width="9.109375" style="9"/>
    <col min="7" max="7" width="17.5546875" customWidth="1"/>
    <col min="8" max="8" width="18.33203125" customWidth="1"/>
    <col min="10" max="10" width="8.88671875" style="2"/>
    <col min="12" max="12" width="8.88671875" style="2"/>
  </cols>
  <sheetData>
    <row r="1" spans="1:22" x14ac:dyDescent="0.3">
      <c r="A1" t="s">
        <v>1</v>
      </c>
      <c r="B1" t="s">
        <v>2</v>
      </c>
      <c r="C1" t="s">
        <v>3</v>
      </c>
      <c r="D1" t="s">
        <v>0</v>
      </c>
      <c r="E1" s="1" t="s">
        <v>5</v>
      </c>
      <c r="F1" s="9" t="s">
        <v>6</v>
      </c>
      <c r="G1" t="s">
        <v>34</v>
      </c>
      <c r="H1" t="s">
        <v>7</v>
      </c>
      <c r="I1" t="s">
        <v>11</v>
      </c>
      <c r="J1" s="2" t="s">
        <v>12</v>
      </c>
      <c r="K1" t="s">
        <v>13</v>
      </c>
      <c r="L1" s="2" t="s">
        <v>14</v>
      </c>
    </row>
    <row r="2" spans="1:22" x14ac:dyDescent="0.3">
      <c r="A2" t="s">
        <v>20</v>
      </c>
      <c r="B2">
        <v>14</v>
      </c>
      <c r="C2">
        <v>0</v>
      </c>
      <c r="D2" t="str">
        <f t="shared" ref="D2:D109" si="0">A2&amp;" "&amp;B2&amp;":"&amp;C2</f>
        <v>FA 14:0</v>
      </c>
      <c r="E2" s="4">
        <v>10.11</v>
      </c>
      <c r="F2" s="9" t="b">
        <v>1</v>
      </c>
      <c r="G2" t="s">
        <v>58</v>
      </c>
    </row>
    <row r="3" spans="1:22" x14ac:dyDescent="0.3">
      <c r="A3" t="s">
        <v>20</v>
      </c>
      <c r="B3">
        <v>14</v>
      </c>
      <c r="C3">
        <v>1</v>
      </c>
      <c r="D3" t="str">
        <f t="shared" si="0"/>
        <v>FA 14:1</v>
      </c>
      <c r="E3" s="4">
        <v>8.31</v>
      </c>
      <c r="F3" s="9" t="b">
        <v>1</v>
      </c>
      <c r="G3" t="s">
        <v>59</v>
      </c>
    </row>
    <row r="4" spans="1:22" x14ac:dyDescent="0.3">
      <c r="A4" t="s">
        <v>20</v>
      </c>
      <c r="B4">
        <v>16</v>
      </c>
      <c r="C4">
        <v>0</v>
      </c>
      <c r="D4" t="str">
        <f t="shared" si="0"/>
        <v>FA 16:0</v>
      </c>
      <c r="E4" s="4">
        <v>12.21</v>
      </c>
      <c r="F4" s="9" t="b">
        <v>1</v>
      </c>
      <c r="G4" t="s">
        <v>60</v>
      </c>
    </row>
    <row r="5" spans="1:22" x14ac:dyDescent="0.3">
      <c r="A5" t="s">
        <v>20</v>
      </c>
      <c r="B5">
        <v>16</v>
      </c>
      <c r="C5">
        <v>1</v>
      </c>
      <c r="D5" t="str">
        <f t="shared" si="0"/>
        <v>FA 16:1</v>
      </c>
      <c r="E5" s="4">
        <v>10.59</v>
      </c>
      <c r="F5" s="9" t="b">
        <v>1</v>
      </c>
      <c r="G5" t="s">
        <v>61</v>
      </c>
    </row>
    <row r="6" spans="1:22" x14ac:dyDescent="0.3">
      <c r="A6" t="s">
        <v>20</v>
      </c>
      <c r="B6">
        <v>18</v>
      </c>
      <c r="C6">
        <v>0</v>
      </c>
      <c r="D6" t="str">
        <f t="shared" si="0"/>
        <v>FA 18:0</v>
      </c>
      <c r="E6" s="1">
        <f>AVERAGE(13.89, 14.16)</f>
        <v>14.025</v>
      </c>
      <c r="F6" s="9" t="b">
        <v>1</v>
      </c>
      <c r="G6" t="s">
        <v>62</v>
      </c>
    </row>
    <row r="7" spans="1:22" x14ac:dyDescent="0.3">
      <c r="A7" t="s">
        <v>20</v>
      </c>
      <c r="B7">
        <v>18</v>
      </c>
      <c r="C7">
        <v>1</v>
      </c>
      <c r="D7" t="str">
        <f t="shared" si="0"/>
        <v>FA 18:1</v>
      </c>
      <c r="E7" s="1">
        <v>12.51</v>
      </c>
      <c r="F7" s="9" t="b">
        <v>1</v>
      </c>
      <c r="G7" t="s">
        <v>63</v>
      </c>
    </row>
    <row r="8" spans="1:22" x14ac:dyDescent="0.3">
      <c r="A8" t="s">
        <v>20</v>
      </c>
      <c r="B8">
        <v>18</v>
      </c>
      <c r="C8">
        <v>2</v>
      </c>
      <c r="D8" t="str">
        <f t="shared" si="0"/>
        <v>FA 18:2</v>
      </c>
      <c r="E8" s="1">
        <v>11.21</v>
      </c>
      <c r="F8" s="9" t="b">
        <v>1</v>
      </c>
      <c r="G8" t="s">
        <v>64</v>
      </c>
    </row>
    <row r="9" spans="1:22" x14ac:dyDescent="0.3">
      <c r="A9" t="s">
        <v>20</v>
      </c>
      <c r="B9">
        <v>18</v>
      </c>
      <c r="C9">
        <v>3</v>
      </c>
      <c r="D9" t="str">
        <f t="shared" si="0"/>
        <v>FA 18:3</v>
      </c>
      <c r="E9" s="1">
        <v>9.93</v>
      </c>
      <c r="F9" s="9" t="b">
        <v>1</v>
      </c>
      <c r="G9" t="s">
        <v>65</v>
      </c>
    </row>
    <row r="10" spans="1:22" x14ac:dyDescent="0.3">
      <c r="A10" t="s">
        <v>20</v>
      </c>
      <c r="B10">
        <v>20</v>
      </c>
      <c r="C10">
        <v>0</v>
      </c>
      <c r="D10" t="str">
        <f t="shared" si="0"/>
        <v>FA 20:0</v>
      </c>
      <c r="E10" s="1">
        <f>AVERAGE(15.25,15.37)</f>
        <v>15.309999999999999</v>
      </c>
      <c r="F10" s="9" t="b">
        <v>1</v>
      </c>
      <c r="G10" t="s">
        <v>66</v>
      </c>
      <c r="H10" t="s">
        <v>114</v>
      </c>
    </row>
    <row r="11" spans="1:22" x14ac:dyDescent="0.3">
      <c r="A11" t="s">
        <v>20</v>
      </c>
      <c r="B11">
        <v>20</v>
      </c>
      <c r="C11">
        <v>1</v>
      </c>
      <c r="D11" t="str">
        <f t="shared" si="0"/>
        <v>FA 20:1</v>
      </c>
      <c r="E11" s="1">
        <v>14.02</v>
      </c>
      <c r="F11" s="9" t="b">
        <v>1</v>
      </c>
      <c r="G11" t="s">
        <v>67</v>
      </c>
    </row>
    <row r="12" spans="1:22" x14ac:dyDescent="0.3">
      <c r="A12" t="s">
        <v>20</v>
      </c>
      <c r="B12">
        <v>22</v>
      </c>
      <c r="C12">
        <v>0</v>
      </c>
      <c r="D12" t="str">
        <f t="shared" si="0"/>
        <v>FA 22:0</v>
      </c>
      <c r="E12" s="1">
        <v>16.43</v>
      </c>
      <c r="F12" s="9" t="b">
        <v>1</v>
      </c>
      <c r="G12" t="s">
        <v>68</v>
      </c>
      <c r="H12" t="s">
        <v>114</v>
      </c>
    </row>
    <row r="13" spans="1:22" x14ac:dyDescent="0.3">
      <c r="A13" t="s">
        <v>20</v>
      </c>
      <c r="B13">
        <v>22</v>
      </c>
      <c r="C13">
        <v>1</v>
      </c>
      <c r="D13" t="str">
        <f t="shared" si="0"/>
        <v>FA 22:1</v>
      </c>
      <c r="E13" s="1">
        <v>15.31</v>
      </c>
      <c r="F13" s="9" t="b">
        <v>1</v>
      </c>
      <c r="G13" t="s">
        <v>69</v>
      </c>
    </row>
    <row r="14" spans="1:22" x14ac:dyDescent="0.3">
      <c r="A14" t="s">
        <v>20</v>
      </c>
      <c r="B14">
        <v>22</v>
      </c>
      <c r="C14">
        <v>6</v>
      </c>
      <c r="D14" t="str">
        <f t="shared" si="0"/>
        <v>FA 22:6</v>
      </c>
      <c r="E14" s="1">
        <v>10.72</v>
      </c>
      <c r="F14" s="9" t="b">
        <v>1</v>
      </c>
      <c r="G14" t="s">
        <v>70</v>
      </c>
    </row>
    <row r="15" spans="1:22" x14ac:dyDescent="0.3">
      <c r="A15" t="s">
        <v>97</v>
      </c>
      <c r="B15">
        <v>12</v>
      </c>
      <c r="C15">
        <v>0</v>
      </c>
      <c r="D15" t="str">
        <f t="shared" si="0"/>
        <v>CAR 12:0</v>
      </c>
      <c r="E15" s="1">
        <f>AVERAGE(3.28, 3.33)</f>
        <v>3.3049999999999997</v>
      </c>
      <c r="F15" s="9" t="b">
        <v>1</v>
      </c>
      <c r="G15" t="s">
        <v>113</v>
      </c>
    </row>
    <row r="16" spans="1:22" x14ac:dyDescent="0.3">
      <c r="A16" t="s">
        <v>84</v>
      </c>
      <c r="B16">
        <v>34</v>
      </c>
      <c r="C16">
        <v>1</v>
      </c>
      <c r="D16" t="str">
        <f t="shared" si="0"/>
        <v>SM 34:1</v>
      </c>
      <c r="E16" s="1">
        <v>15.91</v>
      </c>
      <c r="F16" s="9" t="b">
        <v>1</v>
      </c>
      <c r="G16" t="s">
        <v>85</v>
      </c>
      <c r="H16" t="s">
        <v>114</v>
      </c>
      <c r="K16" s="1"/>
      <c r="L16" s="1"/>
      <c r="N16" s="8"/>
      <c r="P16" s="1"/>
      <c r="T16" s="1"/>
      <c r="U16" s="1"/>
      <c r="V16" s="1"/>
    </row>
    <row r="17" spans="1:22" x14ac:dyDescent="0.3">
      <c r="A17" t="s">
        <v>84</v>
      </c>
      <c r="B17">
        <v>36</v>
      </c>
      <c r="C17">
        <v>1</v>
      </c>
      <c r="D17" t="str">
        <f t="shared" si="0"/>
        <v>SM 36:1</v>
      </c>
      <c r="E17" s="1">
        <f>AVERAGE(16.93, 16.95)</f>
        <v>16.939999999999998</v>
      </c>
      <c r="F17" s="9" t="b">
        <v>1</v>
      </c>
      <c r="G17" t="s">
        <v>86</v>
      </c>
      <c r="K17" s="1"/>
      <c r="L17" s="1"/>
      <c r="N17" s="8"/>
      <c r="P17" s="1"/>
      <c r="T17" s="1"/>
      <c r="U17" s="1"/>
      <c r="V17" s="1"/>
    </row>
    <row r="18" spans="1:22" x14ac:dyDescent="0.3">
      <c r="A18" t="s">
        <v>84</v>
      </c>
      <c r="B18">
        <v>38</v>
      </c>
      <c r="C18">
        <v>1</v>
      </c>
      <c r="D18" t="str">
        <f t="shared" si="0"/>
        <v>SM 38:1</v>
      </c>
      <c r="E18" s="1">
        <f>AVERAGE(17.72, 17.73)</f>
        <v>17.725000000000001</v>
      </c>
      <c r="F18" s="9" t="b">
        <v>1</v>
      </c>
      <c r="G18" t="s">
        <v>87</v>
      </c>
      <c r="H18" t="s">
        <v>115</v>
      </c>
      <c r="K18" s="1"/>
      <c r="L18" s="1"/>
      <c r="N18" s="8"/>
      <c r="P18" s="1"/>
      <c r="T18" s="1"/>
      <c r="U18" s="1"/>
      <c r="V18" s="1"/>
    </row>
    <row r="19" spans="1:22" x14ac:dyDescent="0.3">
      <c r="A19" t="s">
        <v>84</v>
      </c>
      <c r="B19">
        <v>40</v>
      </c>
      <c r="C19">
        <v>1</v>
      </c>
      <c r="D19" t="str">
        <f t="shared" si="0"/>
        <v>SM 40:1</v>
      </c>
      <c r="E19" s="1">
        <f>AVERAGE(18.41, 18.42)</f>
        <v>18.414999999999999</v>
      </c>
      <c r="F19" s="9" t="b">
        <v>1</v>
      </c>
      <c r="G19" t="s">
        <v>88</v>
      </c>
      <c r="K19" s="1"/>
      <c r="L19" s="1"/>
      <c r="N19" s="8"/>
      <c r="P19" s="1"/>
      <c r="T19" s="1"/>
      <c r="U19" s="1"/>
      <c r="V19" s="1"/>
    </row>
    <row r="20" spans="1:22" x14ac:dyDescent="0.3">
      <c r="A20" t="s">
        <v>84</v>
      </c>
      <c r="B20">
        <v>42</v>
      </c>
      <c r="C20">
        <v>1</v>
      </c>
      <c r="D20" t="str">
        <f t="shared" si="0"/>
        <v>SM 42:1</v>
      </c>
      <c r="E20" s="1">
        <f>AVERAGE(18.62,18.63)</f>
        <v>18.625</v>
      </c>
      <c r="F20" s="9" t="b">
        <v>1</v>
      </c>
      <c r="G20" t="s">
        <v>89</v>
      </c>
      <c r="K20" s="1"/>
      <c r="L20" s="1"/>
      <c r="N20" s="8"/>
      <c r="P20" s="1"/>
      <c r="T20" s="1"/>
      <c r="U20" s="1"/>
      <c r="V20" s="1"/>
    </row>
    <row r="21" spans="1:22" x14ac:dyDescent="0.3">
      <c r="A21" t="s">
        <v>90</v>
      </c>
      <c r="B21">
        <v>34</v>
      </c>
      <c r="C21">
        <v>0</v>
      </c>
      <c r="D21" t="str">
        <f t="shared" si="0"/>
        <v>Cer 34:0</v>
      </c>
      <c r="E21" s="1">
        <f>AVERAGE(17.49, 17.49)</f>
        <v>17.489999999999998</v>
      </c>
      <c r="F21" s="9" t="b">
        <v>1</v>
      </c>
      <c r="G21" t="s">
        <v>91</v>
      </c>
      <c r="K21" s="1"/>
      <c r="L21" s="1"/>
      <c r="N21" s="4"/>
      <c r="P21" s="1"/>
      <c r="T21" s="1"/>
      <c r="U21" s="1"/>
      <c r="V21" s="1"/>
    </row>
    <row r="22" spans="1:22" x14ac:dyDescent="0.3">
      <c r="A22" t="s">
        <v>90</v>
      </c>
      <c r="B22">
        <v>34</v>
      </c>
      <c r="C22">
        <v>1</v>
      </c>
      <c r="D22" t="str">
        <f t="shared" si="0"/>
        <v>Cer 34:1</v>
      </c>
      <c r="E22" s="1">
        <f>AVERAGE(17.2, 17.23)</f>
        <v>17.215</v>
      </c>
      <c r="F22" s="9" t="b">
        <v>1</v>
      </c>
      <c r="G22" t="s">
        <v>92</v>
      </c>
      <c r="K22" s="1"/>
      <c r="L22" s="1"/>
      <c r="N22" s="4"/>
      <c r="P22" s="1"/>
      <c r="T22" s="1"/>
      <c r="U22" s="1"/>
      <c r="V22" s="1"/>
    </row>
    <row r="23" spans="1:22" s="3" customFormat="1" x14ac:dyDescent="0.3">
      <c r="A23" t="s">
        <v>93</v>
      </c>
      <c r="B23">
        <v>36</v>
      </c>
      <c r="C23">
        <v>1</v>
      </c>
      <c r="D23" t="str">
        <f t="shared" si="0"/>
        <v>HexCer 36:1</v>
      </c>
      <c r="E23" s="1">
        <f>AVERAGE(17.29, 17.3)</f>
        <v>17.295000000000002</v>
      </c>
      <c r="F23" s="9" t="b">
        <v>1</v>
      </c>
      <c r="G23" t="s">
        <v>94</v>
      </c>
      <c r="H23"/>
      <c r="I23"/>
      <c r="J23" s="2"/>
      <c r="K23" s="1"/>
      <c r="L23" s="1"/>
      <c r="M23"/>
      <c r="N23" s="4"/>
      <c r="O23"/>
      <c r="P23"/>
      <c r="Q23"/>
      <c r="R23"/>
      <c r="S23"/>
      <c r="T23" s="1"/>
      <c r="U23" s="1"/>
    </row>
    <row r="24" spans="1:22" x14ac:dyDescent="0.3">
      <c r="A24" t="s">
        <v>95</v>
      </c>
      <c r="B24">
        <v>42</v>
      </c>
      <c r="C24">
        <v>1</v>
      </c>
      <c r="D24" t="str">
        <f t="shared" si="0"/>
        <v>LactCer 42:1</v>
      </c>
      <c r="E24" s="1">
        <f>AVERAGE(19.01,19.02)</f>
        <v>19.015000000000001</v>
      </c>
      <c r="F24" s="9" t="b">
        <v>1</v>
      </c>
      <c r="G24" t="s">
        <v>96</v>
      </c>
      <c r="K24" s="1"/>
      <c r="L24" s="1"/>
      <c r="N24" s="8"/>
      <c r="P24" s="1"/>
      <c r="T24" s="1"/>
      <c r="U24" s="1"/>
    </row>
    <row r="25" spans="1:22" x14ac:dyDescent="0.3">
      <c r="A25" t="s">
        <v>103</v>
      </c>
      <c r="B25">
        <v>17</v>
      </c>
      <c r="C25">
        <v>0</v>
      </c>
      <c r="D25" t="str">
        <f t="shared" si="0"/>
        <v>LPA 17:0</v>
      </c>
      <c r="E25" s="1">
        <f>AVERAGE(9.09,9.23)</f>
        <v>9.16</v>
      </c>
      <c r="F25" s="9" t="s">
        <v>112</v>
      </c>
      <c r="G25" t="s">
        <v>104</v>
      </c>
      <c r="K25" s="1"/>
      <c r="L25" s="1"/>
      <c r="N25" s="8"/>
      <c r="P25" s="1"/>
      <c r="T25" s="1"/>
      <c r="U25" s="1"/>
    </row>
    <row r="26" spans="1:22" x14ac:dyDescent="0.3">
      <c r="A26" t="s">
        <v>4</v>
      </c>
      <c r="B26">
        <v>32</v>
      </c>
      <c r="C26">
        <v>1</v>
      </c>
      <c r="D26" t="str">
        <f t="shared" si="0"/>
        <v>PA 32:1</v>
      </c>
      <c r="E26" s="1">
        <v>16.059999999999999</v>
      </c>
      <c r="F26" s="9" t="b">
        <v>0</v>
      </c>
      <c r="K26" s="1"/>
      <c r="L26" s="1"/>
      <c r="N26" s="8"/>
      <c r="P26" s="1"/>
      <c r="T26" s="1"/>
      <c r="U26" s="1"/>
    </row>
    <row r="27" spans="1:22" x14ac:dyDescent="0.3">
      <c r="A27" t="s">
        <v>4</v>
      </c>
      <c r="B27">
        <v>32</v>
      </c>
      <c r="C27">
        <v>2</v>
      </c>
      <c r="D27" t="str">
        <f t="shared" si="0"/>
        <v>PA 32:2</v>
      </c>
      <c r="E27" s="1">
        <f>AVERAGE(15.37,15.39)</f>
        <v>15.379999999999999</v>
      </c>
      <c r="F27" s="9" t="b">
        <v>0</v>
      </c>
      <c r="K27" s="1"/>
      <c r="L27" s="1"/>
      <c r="N27" s="8"/>
      <c r="P27" s="1"/>
      <c r="T27" s="1"/>
      <c r="U27" s="1"/>
    </row>
    <row r="28" spans="1:22" x14ac:dyDescent="0.3">
      <c r="A28" t="s">
        <v>4</v>
      </c>
      <c r="B28">
        <v>33</v>
      </c>
      <c r="C28">
        <v>3</v>
      </c>
      <c r="D28" t="str">
        <f t="shared" si="0"/>
        <v>PA 33:3</v>
      </c>
      <c r="E28" s="1">
        <v>16.25</v>
      </c>
      <c r="F28" s="9" t="b">
        <v>0</v>
      </c>
      <c r="K28" s="1"/>
      <c r="L28" s="1"/>
      <c r="N28" s="8"/>
      <c r="P28" s="1"/>
      <c r="T28" s="1"/>
      <c r="U28" s="1"/>
    </row>
    <row r="29" spans="1:22" x14ac:dyDescent="0.3">
      <c r="A29" t="s">
        <v>4</v>
      </c>
      <c r="B29">
        <v>34</v>
      </c>
      <c r="C29">
        <v>1</v>
      </c>
      <c r="D29" t="s">
        <v>131</v>
      </c>
      <c r="E29" s="1">
        <f>AVERAGE(16.89,16.93)</f>
        <v>16.91</v>
      </c>
      <c r="F29" s="9" t="b">
        <v>0</v>
      </c>
      <c r="I29" t="s">
        <v>125</v>
      </c>
      <c r="J29" s="2">
        <v>1994</v>
      </c>
      <c r="K29" s="1" t="s">
        <v>132</v>
      </c>
      <c r="L29" s="1">
        <v>1876</v>
      </c>
      <c r="N29" s="8"/>
      <c r="P29" s="1"/>
      <c r="T29" s="1"/>
      <c r="U29" s="1"/>
    </row>
    <row r="30" spans="1:22" x14ac:dyDescent="0.3">
      <c r="A30" t="s">
        <v>4</v>
      </c>
      <c r="B30">
        <v>34</v>
      </c>
      <c r="C30">
        <v>2</v>
      </c>
      <c r="D30" t="s">
        <v>15</v>
      </c>
      <c r="E30" s="1">
        <f>AVERAGE(16.27, 16.28, 16.21,16.25)</f>
        <v>16.252499999999998</v>
      </c>
      <c r="F30" s="9" t="b">
        <v>1</v>
      </c>
      <c r="G30" t="s">
        <v>15</v>
      </c>
      <c r="I30" t="s">
        <v>125</v>
      </c>
      <c r="J30" s="2">
        <v>1924</v>
      </c>
      <c r="K30" s="1" t="s">
        <v>133</v>
      </c>
      <c r="L30" s="2">
        <v>1792</v>
      </c>
    </row>
    <row r="31" spans="1:22" x14ac:dyDescent="0.3">
      <c r="A31" t="s">
        <v>4</v>
      </c>
      <c r="B31">
        <v>34</v>
      </c>
      <c r="C31">
        <v>3</v>
      </c>
      <c r="D31" t="s">
        <v>134</v>
      </c>
      <c r="E31" s="1">
        <f>AVERAGE(15.64,15.68)</f>
        <v>15.66</v>
      </c>
      <c r="F31" s="9" t="b">
        <v>0</v>
      </c>
      <c r="I31" t="s">
        <v>124</v>
      </c>
      <c r="J31" s="2">
        <v>1846</v>
      </c>
      <c r="K31" s="1" t="s">
        <v>135</v>
      </c>
      <c r="L31" s="2">
        <v>1744</v>
      </c>
    </row>
    <row r="32" spans="1:22" x14ac:dyDescent="0.3">
      <c r="A32" t="s">
        <v>4</v>
      </c>
      <c r="B32">
        <v>36</v>
      </c>
      <c r="C32">
        <v>1</v>
      </c>
      <c r="D32" t="str">
        <f t="shared" si="0"/>
        <v>PA 36:1</v>
      </c>
      <c r="E32" s="1">
        <v>17.95</v>
      </c>
      <c r="F32" s="9" t="b">
        <v>0</v>
      </c>
      <c r="K32" s="1"/>
    </row>
    <row r="33" spans="1:12" ht="13.8" customHeight="1" x14ac:dyDescent="0.3">
      <c r="A33" t="s">
        <v>4</v>
      </c>
      <c r="B33">
        <v>36</v>
      </c>
      <c r="C33">
        <v>2</v>
      </c>
      <c r="D33" t="s">
        <v>136</v>
      </c>
      <c r="E33" s="1">
        <f>AVERAGE(17.18,17.13)</f>
        <v>17.155000000000001</v>
      </c>
      <c r="F33" s="9" t="b">
        <v>0</v>
      </c>
      <c r="H33" t="s">
        <v>129</v>
      </c>
      <c r="I33" t="s">
        <v>125</v>
      </c>
      <c r="J33" s="2">
        <v>2026</v>
      </c>
      <c r="K33" s="1" t="s">
        <v>137</v>
      </c>
      <c r="L33" s="2">
        <v>1908</v>
      </c>
    </row>
    <row r="34" spans="1:12" x14ac:dyDescent="0.3">
      <c r="A34" t="s">
        <v>4</v>
      </c>
      <c r="B34">
        <v>36</v>
      </c>
      <c r="C34">
        <v>3</v>
      </c>
      <c r="D34" t="s">
        <v>138</v>
      </c>
      <c r="E34" s="1">
        <v>16.329999999999998</v>
      </c>
      <c r="F34" s="9" t="b">
        <v>0</v>
      </c>
      <c r="K34" s="1" t="s">
        <v>139</v>
      </c>
      <c r="L34" s="2">
        <v>1810</v>
      </c>
    </row>
    <row r="35" spans="1:12" x14ac:dyDescent="0.3">
      <c r="A35" t="s">
        <v>4</v>
      </c>
      <c r="B35">
        <v>36</v>
      </c>
      <c r="C35">
        <v>3</v>
      </c>
      <c r="D35" t="s">
        <v>118</v>
      </c>
      <c r="E35" s="1">
        <v>16.57</v>
      </c>
      <c r="F35" s="9" t="b">
        <v>0</v>
      </c>
      <c r="K35" s="1"/>
    </row>
    <row r="36" spans="1:12" x14ac:dyDescent="0.3">
      <c r="A36" t="s">
        <v>4</v>
      </c>
      <c r="B36">
        <v>36</v>
      </c>
      <c r="C36">
        <v>4</v>
      </c>
      <c r="D36" t="s">
        <v>141</v>
      </c>
      <c r="E36" s="1">
        <f>AVERAGE(15.73, 15.73, 15.69)</f>
        <v>15.716666666666667</v>
      </c>
      <c r="F36" s="9" t="b">
        <v>1</v>
      </c>
      <c r="G36" t="s">
        <v>40</v>
      </c>
      <c r="I36" t="s">
        <v>128</v>
      </c>
      <c r="J36" s="2">
        <v>1842</v>
      </c>
      <c r="K36" s="1" t="s">
        <v>140</v>
      </c>
      <c r="L36" s="2">
        <v>1738</v>
      </c>
    </row>
    <row r="37" spans="1:12" x14ac:dyDescent="0.3">
      <c r="A37" t="s">
        <v>4</v>
      </c>
      <c r="B37">
        <v>36</v>
      </c>
      <c r="C37">
        <v>5</v>
      </c>
      <c r="D37" t="s">
        <v>142</v>
      </c>
      <c r="E37" s="1">
        <f>AVERAGE(15.11,15.15)</f>
        <v>15.129999999999999</v>
      </c>
      <c r="F37" s="9" t="b">
        <v>0</v>
      </c>
      <c r="I37" t="s">
        <v>127</v>
      </c>
      <c r="J37" s="2">
        <v>1784</v>
      </c>
      <c r="K37" s="1" t="s">
        <v>143</v>
      </c>
      <c r="L37" s="2">
        <v>1668</v>
      </c>
    </row>
    <row r="38" spans="1:12" x14ac:dyDescent="0.3">
      <c r="A38" t="s">
        <v>4</v>
      </c>
      <c r="B38">
        <v>36</v>
      </c>
      <c r="C38">
        <v>6</v>
      </c>
      <c r="D38" t="s">
        <v>144</v>
      </c>
      <c r="E38" s="1">
        <f>AVERAGE(14.53,14.61)</f>
        <v>14.57</v>
      </c>
      <c r="F38" s="9" t="b">
        <v>0</v>
      </c>
      <c r="I38" t="s">
        <v>126</v>
      </c>
      <c r="J38" s="2">
        <v>1706</v>
      </c>
      <c r="K38" s="1" t="s">
        <v>145</v>
      </c>
      <c r="L38" s="2">
        <v>1610</v>
      </c>
    </row>
    <row r="39" spans="1:12" x14ac:dyDescent="0.3">
      <c r="A39" t="s">
        <v>4</v>
      </c>
      <c r="B39">
        <v>38</v>
      </c>
      <c r="C39">
        <v>2</v>
      </c>
      <c r="D39" t="str">
        <f t="shared" si="0"/>
        <v>PA 38:2</v>
      </c>
      <c r="E39" s="1">
        <f>AVERAGE(17.95,18.04)</f>
        <v>17.994999999999997</v>
      </c>
      <c r="F39" s="9" t="b">
        <v>0</v>
      </c>
      <c r="K39" s="1"/>
    </row>
    <row r="40" spans="1:12" x14ac:dyDescent="0.3">
      <c r="A40" t="s">
        <v>4</v>
      </c>
      <c r="B40">
        <v>40</v>
      </c>
      <c r="C40">
        <v>2</v>
      </c>
      <c r="D40" t="s">
        <v>146</v>
      </c>
      <c r="E40" s="1">
        <f>AVERAGE(18.63,18.63)</f>
        <v>18.63</v>
      </c>
      <c r="F40" s="9" t="b">
        <v>0</v>
      </c>
      <c r="K40" s="1" t="s">
        <v>147</v>
      </c>
      <c r="L40" s="2">
        <v>2078</v>
      </c>
    </row>
    <row r="41" spans="1:12" x14ac:dyDescent="0.3">
      <c r="A41" t="s">
        <v>4</v>
      </c>
      <c r="B41">
        <v>42</v>
      </c>
      <c r="C41">
        <v>2</v>
      </c>
      <c r="D41" t="str">
        <f t="shared" si="0"/>
        <v>PA 42:2</v>
      </c>
      <c r="E41" s="1">
        <f>AVERAGE(19.22,19.23)</f>
        <v>19.225000000000001</v>
      </c>
      <c r="F41" s="9" t="b">
        <v>0</v>
      </c>
      <c r="K41" s="1"/>
    </row>
    <row r="42" spans="1:12" x14ac:dyDescent="0.3">
      <c r="A42" t="s">
        <v>22</v>
      </c>
      <c r="B42">
        <v>16</v>
      </c>
      <c r="C42">
        <v>0</v>
      </c>
      <c r="D42" t="str">
        <f t="shared" si="0"/>
        <v>LPC 16:0</v>
      </c>
      <c r="E42" s="1">
        <f>AVERAGE(7.99, 8.03)</f>
        <v>8.01</v>
      </c>
      <c r="F42" s="9" t="b">
        <v>1</v>
      </c>
      <c r="G42" t="s">
        <v>48</v>
      </c>
    </row>
    <row r="43" spans="1:12" x14ac:dyDescent="0.3">
      <c r="A43" t="s">
        <v>22</v>
      </c>
      <c r="B43">
        <v>18</v>
      </c>
      <c r="C43">
        <v>0</v>
      </c>
      <c r="D43" t="str">
        <f t="shared" si="0"/>
        <v>LPC 18:0</v>
      </c>
      <c r="E43" s="1">
        <f>AVERAGE(10.23,10.28)</f>
        <v>10.254999999999999</v>
      </c>
      <c r="F43" s="9" t="b">
        <v>1</v>
      </c>
      <c r="G43" t="s">
        <v>49</v>
      </c>
    </row>
    <row r="44" spans="1:12" x14ac:dyDescent="0.3">
      <c r="A44" t="s">
        <v>22</v>
      </c>
      <c r="B44">
        <v>18</v>
      </c>
      <c r="C44">
        <v>1</v>
      </c>
      <c r="D44" t="str">
        <f t="shared" si="0"/>
        <v>LPC 18:1</v>
      </c>
      <c r="E44" s="1">
        <f>AVERAGE(8.53,8.56)</f>
        <v>8.5449999999999999</v>
      </c>
      <c r="F44" s="9" t="b">
        <v>1</v>
      </c>
      <c r="G44" t="s">
        <v>50</v>
      </c>
    </row>
    <row r="45" spans="1:12" x14ac:dyDescent="0.3">
      <c r="A45" t="s">
        <v>22</v>
      </c>
      <c r="B45">
        <v>18</v>
      </c>
      <c r="C45">
        <v>2</v>
      </c>
      <c r="D45" t="str">
        <f t="shared" si="0"/>
        <v>LPC 18:2</v>
      </c>
      <c r="E45" s="1">
        <f>AVERAGE(6.98,7)</f>
        <v>6.99</v>
      </c>
      <c r="F45" s="9" t="b">
        <v>1</v>
      </c>
      <c r="G45" t="s">
        <v>51</v>
      </c>
    </row>
    <row r="46" spans="1:12" x14ac:dyDescent="0.3">
      <c r="A46" t="s">
        <v>22</v>
      </c>
      <c r="B46">
        <v>18</v>
      </c>
      <c r="C46">
        <v>3</v>
      </c>
      <c r="D46" t="str">
        <f t="shared" si="0"/>
        <v>LPC 18:3</v>
      </c>
      <c r="E46" s="1">
        <f>AVERAGE(5.57,5.61)</f>
        <v>5.59</v>
      </c>
      <c r="F46" s="9" t="b">
        <v>1</v>
      </c>
      <c r="G46" t="s">
        <v>57</v>
      </c>
    </row>
    <row r="47" spans="1:12" x14ac:dyDescent="0.3">
      <c r="A47" t="s">
        <v>9</v>
      </c>
      <c r="B47">
        <v>32</v>
      </c>
      <c r="C47">
        <v>0</v>
      </c>
      <c r="D47" t="str">
        <f t="shared" si="0"/>
        <v>PC 32:0</v>
      </c>
      <c r="E47" s="1">
        <f>AVERAGE(16.92,17)</f>
        <v>16.96</v>
      </c>
      <c r="F47" s="9" t="b">
        <v>0</v>
      </c>
    </row>
    <row r="48" spans="1:12" x14ac:dyDescent="0.3">
      <c r="A48" t="s">
        <v>9</v>
      </c>
      <c r="B48">
        <v>34</v>
      </c>
      <c r="C48">
        <v>1</v>
      </c>
      <c r="D48" t="str">
        <f t="shared" si="0"/>
        <v>PC 34:1</v>
      </c>
      <c r="E48" s="1">
        <f>AVERAGE(17.04,17.11)</f>
        <v>17.074999999999999</v>
      </c>
      <c r="F48" s="9" t="b">
        <v>0</v>
      </c>
    </row>
    <row r="49" spans="1:11" x14ac:dyDescent="0.3">
      <c r="A49" t="s">
        <v>9</v>
      </c>
      <c r="B49">
        <v>34</v>
      </c>
      <c r="C49">
        <v>2</v>
      </c>
      <c r="D49" t="str">
        <f t="shared" si="0"/>
        <v>PC 34:2</v>
      </c>
      <c r="E49" s="1">
        <f>AVERAGE(16.48,16.48,16.45,1.53)</f>
        <v>12.734999999999999</v>
      </c>
      <c r="F49" s="9" t="b">
        <v>1</v>
      </c>
      <c r="G49" t="s">
        <v>8</v>
      </c>
      <c r="K49" s="1"/>
    </row>
    <row r="50" spans="1:11" x14ac:dyDescent="0.3">
      <c r="A50" t="s">
        <v>9</v>
      </c>
      <c r="B50">
        <v>34</v>
      </c>
      <c r="C50">
        <v>3</v>
      </c>
      <c r="D50" t="str">
        <f t="shared" si="0"/>
        <v>PC 34:3</v>
      </c>
      <c r="E50" s="1">
        <f>AVERAGE(15.87,15.78)</f>
        <v>15.824999999999999</v>
      </c>
      <c r="F50" s="9" t="b">
        <v>0</v>
      </c>
      <c r="K50" s="1"/>
    </row>
    <row r="51" spans="1:11" x14ac:dyDescent="0.3">
      <c r="A51" t="s">
        <v>9</v>
      </c>
      <c r="B51">
        <v>35</v>
      </c>
      <c r="C51">
        <v>2</v>
      </c>
      <c r="D51" t="str">
        <f t="shared" si="0"/>
        <v>PC 35:2</v>
      </c>
      <c r="E51" s="1">
        <f>AVERAGE(16.86,16.93)</f>
        <v>16.895</v>
      </c>
      <c r="F51" s="9" t="b">
        <v>0</v>
      </c>
      <c r="K51" s="1"/>
    </row>
    <row r="52" spans="1:11" x14ac:dyDescent="0.3">
      <c r="A52" t="s">
        <v>9</v>
      </c>
      <c r="B52">
        <v>36</v>
      </c>
      <c r="C52">
        <v>1</v>
      </c>
      <c r="D52" t="str">
        <f t="shared" si="0"/>
        <v>PC 36:1</v>
      </c>
      <c r="E52" s="1">
        <f>AVERAGE(17.77,17.84)</f>
        <v>17.805</v>
      </c>
      <c r="F52" s="9" t="b">
        <v>0</v>
      </c>
      <c r="K52" s="1"/>
    </row>
    <row r="53" spans="1:11" x14ac:dyDescent="0.3">
      <c r="A53" t="s">
        <v>9</v>
      </c>
      <c r="B53">
        <v>36</v>
      </c>
      <c r="C53">
        <v>2</v>
      </c>
      <c r="D53" t="str">
        <f t="shared" si="0"/>
        <v>PC 36:2</v>
      </c>
      <c r="E53" s="1">
        <f>AVERAGE(17.27,17.28,17.24,17.32)</f>
        <v>17.277499999999996</v>
      </c>
      <c r="F53" s="9" t="b">
        <v>1</v>
      </c>
      <c r="G53" t="s">
        <v>35</v>
      </c>
      <c r="K53" s="1"/>
    </row>
    <row r="54" spans="1:11" x14ac:dyDescent="0.3">
      <c r="A54" t="s">
        <v>9</v>
      </c>
      <c r="B54">
        <v>36</v>
      </c>
      <c r="C54">
        <v>3</v>
      </c>
      <c r="D54" t="s">
        <v>18</v>
      </c>
      <c r="E54" s="1">
        <f>AVERAGE(16.55,16.63)</f>
        <v>16.59</v>
      </c>
      <c r="F54" s="9" t="b">
        <v>0</v>
      </c>
      <c r="K54" s="1"/>
    </row>
    <row r="55" spans="1:11" x14ac:dyDescent="0.3">
      <c r="A55" t="s">
        <v>9</v>
      </c>
      <c r="B55">
        <v>36</v>
      </c>
      <c r="C55">
        <v>3</v>
      </c>
      <c r="D55" t="s">
        <v>19</v>
      </c>
      <c r="E55" s="1">
        <f>AVERAGE(16.75,16.82)</f>
        <v>16.785</v>
      </c>
      <c r="F55" s="9" t="b">
        <v>0</v>
      </c>
      <c r="K55" s="1"/>
    </row>
    <row r="56" spans="1:11" x14ac:dyDescent="0.3">
      <c r="A56" t="s">
        <v>9</v>
      </c>
      <c r="B56">
        <v>36</v>
      </c>
      <c r="C56">
        <v>4</v>
      </c>
      <c r="D56" t="str">
        <f t="shared" si="0"/>
        <v>PC 36:4</v>
      </c>
      <c r="E56" s="1">
        <f>AVERAGE(15.95,15.96,15.92,16.02)</f>
        <v>15.962499999999999</v>
      </c>
      <c r="F56" s="9" t="b">
        <v>1</v>
      </c>
      <c r="G56" t="s">
        <v>39</v>
      </c>
      <c r="K56" s="1"/>
    </row>
    <row r="57" spans="1:11" x14ac:dyDescent="0.3">
      <c r="A57" t="s">
        <v>9</v>
      </c>
      <c r="B57">
        <v>36</v>
      </c>
      <c r="C57">
        <v>5</v>
      </c>
      <c r="D57" t="str">
        <f t="shared" si="0"/>
        <v>PC 36:5</v>
      </c>
      <c r="E57" s="1">
        <f>AVERAGE(15.36,15.36,15.32,15.43)</f>
        <v>15.3675</v>
      </c>
      <c r="F57" s="9" t="b">
        <v>1</v>
      </c>
      <c r="G57" t="s">
        <v>36</v>
      </c>
      <c r="K57" s="1"/>
    </row>
    <row r="58" spans="1:11" x14ac:dyDescent="0.3">
      <c r="A58" t="s">
        <v>9</v>
      </c>
      <c r="B58">
        <v>36</v>
      </c>
      <c r="C58">
        <v>6</v>
      </c>
      <c r="D58" t="str">
        <f t="shared" si="0"/>
        <v>PC 36:6</v>
      </c>
      <c r="E58" s="1">
        <f>AVERAGE(14.68,14.8)</f>
        <v>14.74</v>
      </c>
      <c r="F58" s="9" t="b">
        <v>0</v>
      </c>
      <c r="K58" s="1"/>
    </row>
    <row r="59" spans="1:11" x14ac:dyDescent="0.3">
      <c r="A59" t="s">
        <v>23</v>
      </c>
      <c r="B59">
        <v>32</v>
      </c>
      <c r="C59">
        <v>2</v>
      </c>
      <c r="D59" t="str">
        <f t="shared" si="0"/>
        <v>PE 32:2</v>
      </c>
      <c r="E59" s="6">
        <v>15.88</v>
      </c>
      <c r="F59" s="9" t="b">
        <v>0</v>
      </c>
      <c r="I59" t="s">
        <v>148</v>
      </c>
      <c r="J59" s="2">
        <v>1860</v>
      </c>
      <c r="K59" s="1"/>
    </row>
    <row r="60" spans="1:11" x14ac:dyDescent="0.3">
      <c r="A60" t="s">
        <v>23</v>
      </c>
      <c r="B60">
        <v>34</v>
      </c>
      <c r="C60">
        <v>1</v>
      </c>
      <c r="D60" t="str">
        <f t="shared" si="0"/>
        <v>PE 34:1</v>
      </c>
      <c r="E60" s="1">
        <f>AVERAGE(17.26,17.32)</f>
        <v>17.29</v>
      </c>
      <c r="F60" s="9" t="b">
        <v>0</v>
      </c>
      <c r="H60" t="s">
        <v>130</v>
      </c>
      <c r="I60" t="s">
        <v>151</v>
      </c>
      <c r="J60" s="2">
        <v>2050</v>
      </c>
      <c r="K60" s="1"/>
    </row>
    <row r="61" spans="1:11" x14ac:dyDescent="0.3">
      <c r="A61" t="s">
        <v>23</v>
      </c>
      <c r="B61">
        <v>34</v>
      </c>
      <c r="C61">
        <v>2</v>
      </c>
      <c r="D61" t="str">
        <f t="shared" si="0"/>
        <v>PE 34:2</v>
      </c>
      <c r="E61" s="1">
        <f>AVERAGE(16.72,16.72,16.67,16.75)</f>
        <v>16.715</v>
      </c>
      <c r="F61" s="9" t="b">
        <v>1</v>
      </c>
      <c r="G61" t="s">
        <v>26</v>
      </c>
      <c r="I61" t="s">
        <v>151</v>
      </c>
      <c r="J61" s="2">
        <v>1984</v>
      </c>
    </row>
    <row r="62" spans="1:11" x14ac:dyDescent="0.3">
      <c r="A62" t="s">
        <v>23</v>
      </c>
      <c r="B62">
        <v>34</v>
      </c>
      <c r="C62">
        <v>3</v>
      </c>
      <c r="D62" t="str">
        <f t="shared" si="0"/>
        <v>PE 34:3</v>
      </c>
      <c r="E62" s="1">
        <f>AVERAGE(16.13,16.16,16.11,16.2)</f>
        <v>16.149999999999999</v>
      </c>
      <c r="F62" s="9" t="b">
        <v>1</v>
      </c>
      <c r="G62" t="s">
        <v>30</v>
      </c>
      <c r="I62" t="s">
        <v>150</v>
      </c>
      <c r="J62" s="2">
        <v>1916</v>
      </c>
    </row>
    <row r="63" spans="1:11" x14ac:dyDescent="0.3">
      <c r="A63" t="s">
        <v>23</v>
      </c>
      <c r="B63">
        <v>36</v>
      </c>
      <c r="C63">
        <v>2</v>
      </c>
      <c r="D63" t="str">
        <f t="shared" si="0"/>
        <v>PE 36:2</v>
      </c>
      <c r="E63" s="1">
        <f>AVERAGE(17.49,17.5,17.45,17.52)</f>
        <v>17.489999999999998</v>
      </c>
      <c r="F63" s="9" t="b">
        <v>1</v>
      </c>
      <c r="G63" t="s">
        <v>41</v>
      </c>
      <c r="I63" t="s">
        <v>154</v>
      </c>
      <c r="J63" s="2">
        <v>2082</v>
      </c>
    </row>
    <row r="64" spans="1:11" x14ac:dyDescent="0.3">
      <c r="A64" t="s">
        <v>23</v>
      </c>
      <c r="B64">
        <v>36</v>
      </c>
      <c r="C64">
        <v>3</v>
      </c>
      <c r="D64" t="s">
        <v>119</v>
      </c>
      <c r="E64" s="1">
        <f>AVERAGE(16.81,16.8,16.77,16.84)</f>
        <v>16.805</v>
      </c>
      <c r="F64" s="9" t="b">
        <v>1</v>
      </c>
      <c r="G64" t="s">
        <v>29</v>
      </c>
      <c r="I64" t="s">
        <v>153</v>
      </c>
      <c r="J64" s="2">
        <v>2000</v>
      </c>
    </row>
    <row r="65" spans="1:21" x14ac:dyDescent="0.3">
      <c r="A65" t="s">
        <v>23</v>
      </c>
      <c r="B65">
        <v>36</v>
      </c>
      <c r="C65">
        <v>3</v>
      </c>
      <c r="D65" t="s">
        <v>120</v>
      </c>
      <c r="E65" s="1">
        <f>AVERAGE(16.95,17.03)</f>
        <v>16.990000000000002</v>
      </c>
      <c r="F65" s="9" t="b">
        <v>0</v>
      </c>
      <c r="I65" t="s">
        <v>152</v>
      </c>
      <c r="J65" s="2">
        <v>1998</v>
      </c>
    </row>
    <row r="66" spans="1:21" x14ac:dyDescent="0.3">
      <c r="A66" t="s">
        <v>23</v>
      </c>
      <c r="B66">
        <v>36</v>
      </c>
      <c r="C66">
        <v>4</v>
      </c>
      <c r="D66" t="str">
        <f t="shared" si="0"/>
        <v>PE 36:4</v>
      </c>
      <c r="E66" s="1">
        <f>AVERAGE(16.18,16.19,16.15,16.25)</f>
        <v>16.192500000000003</v>
      </c>
      <c r="F66" s="9" t="b">
        <v>1</v>
      </c>
      <c r="G66" t="s">
        <v>42</v>
      </c>
      <c r="I66" t="s">
        <v>149</v>
      </c>
      <c r="J66" s="2">
        <v>1922</v>
      </c>
    </row>
    <row r="67" spans="1:21" x14ac:dyDescent="0.3">
      <c r="A67" t="s">
        <v>23</v>
      </c>
      <c r="B67">
        <v>36</v>
      </c>
      <c r="C67">
        <v>5</v>
      </c>
      <c r="D67" t="str">
        <f t="shared" si="0"/>
        <v>PE 36:5</v>
      </c>
      <c r="E67" s="1">
        <f>AVERAGE(15.57,15.6,15.55,15.66)</f>
        <v>15.594999999999999</v>
      </c>
      <c r="F67" s="9" t="b">
        <v>1</v>
      </c>
      <c r="G67" t="s">
        <v>28</v>
      </c>
      <c r="I67" t="s">
        <v>152</v>
      </c>
      <c r="J67" s="2">
        <v>1834</v>
      </c>
    </row>
    <row r="68" spans="1:21" x14ac:dyDescent="0.3">
      <c r="A68" t="s">
        <v>23</v>
      </c>
      <c r="B68">
        <v>36</v>
      </c>
      <c r="C68">
        <v>6</v>
      </c>
      <c r="D68" t="str">
        <f t="shared" si="0"/>
        <v>PE 36:6</v>
      </c>
      <c r="E68" s="1">
        <f>AVERAGE(14.93,15.04)</f>
        <v>14.984999999999999</v>
      </c>
      <c r="F68" s="9" t="b">
        <v>0</v>
      </c>
      <c r="I68" t="s">
        <v>128</v>
      </c>
      <c r="J68" s="2">
        <v>1764</v>
      </c>
    </row>
    <row r="69" spans="1:21" x14ac:dyDescent="0.3">
      <c r="A69" t="s">
        <v>23</v>
      </c>
      <c r="B69">
        <v>38</v>
      </c>
      <c r="C69">
        <v>2</v>
      </c>
      <c r="D69" t="str">
        <f t="shared" si="0"/>
        <v>PE 38:2</v>
      </c>
      <c r="E69" s="1">
        <f>AVERAGE(18.15,18.21)</f>
        <v>18.18</v>
      </c>
      <c r="F69" s="9" t="b">
        <v>0</v>
      </c>
      <c r="I69" t="s">
        <v>149</v>
      </c>
      <c r="J69" s="2">
        <v>2160</v>
      </c>
    </row>
    <row r="70" spans="1:21" x14ac:dyDescent="0.3">
      <c r="A70" t="s">
        <v>23</v>
      </c>
      <c r="B70">
        <v>40</v>
      </c>
      <c r="C70">
        <v>2</v>
      </c>
      <c r="D70" t="str">
        <f t="shared" si="0"/>
        <v>PE 40:2</v>
      </c>
      <c r="E70" s="1">
        <f>AVERAGE(18.77,18.82)</f>
        <v>18.795000000000002</v>
      </c>
      <c r="F70" s="9" t="b">
        <v>0</v>
      </c>
      <c r="I70" t="s">
        <v>151</v>
      </c>
      <c r="J70" s="2">
        <v>2228</v>
      </c>
    </row>
    <row r="71" spans="1:21" x14ac:dyDescent="0.3">
      <c r="A71" t="s">
        <v>23</v>
      </c>
      <c r="B71">
        <v>40</v>
      </c>
      <c r="C71">
        <v>3</v>
      </c>
      <c r="D71" t="str">
        <f t="shared" si="0"/>
        <v>PE 40:3</v>
      </c>
      <c r="E71" s="1">
        <v>18.41</v>
      </c>
      <c r="F71" s="9" t="b">
        <v>0</v>
      </c>
      <c r="I71" t="s">
        <v>127</v>
      </c>
      <c r="J71" s="2">
        <v>2184</v>
      </c>
    </row>
    <row r="72" spans="1:21" x14ac:dyDescent="0.3">
      <c r="A72" t="s">
        <v>23</v>
      </c>
      <c r="B72">
        <v>41</v>
      </c>
      <c r="C72">
        <v>2</v>
      </c>
      <c r="D72" t="str">
        <f t="shared" si="0"/>
        <v>PE 41:2</v>
      </c>
      <c r="E72" s="1">
        <f>AVERAGE(19.06,19.11)</f>
        <v>19.085000000000001</v>
      </c>
      <c r="F72" s="9" t="b">
        <v>0</v>
      </c>
    </row>
    <row r="73" spans="1:21" x14ac:dyDescent="0.3">
      <c r="A73" t="s">
        <v>23</v>
      </c>
      <c r="B73">
        <v>42</v>
      </c>
      <c r="C73">
        <v>2</v>
      </c>
      <c r="D73" t="str">
        <f t="shared" si="0"/>
        <v>PE 42:2</v>
      </c>
      <c r="E73" s="1">
        <f>AVERAGE(19.33,19.38)</f>
        <v>19.354999999999997</v>
      </c>
      <c r="F73" s="9" t="b">
        <v>0</v>
      </c>
      <c r="I73" t="s">
        <v>155</v>
      </c>
      <c r="J73" s="2">
        <v>2286</v>
      </c>
    </row>
    <row r="74" spans="1:21" x14ac:dyDescent="0.3">
      <c r="A74" t="s">
        <v>23</v>
      </c>
      <c r="B74">
        <v>43</v>
      </c>
      <c r="C74">
        <v>2</v>
      </c>
      <c r="D74" t="str">
        <f t="shared" si="0"/>
        <v>PE 43:2</v>
      </c>
      <c r="E74" s="1">
        <v>19.64</v>
      </c>
      <c r="F74" s="9" t="b">
        <v>0</v>
      </c>
      <c r="I74" t="s">
        <v>127</v>
      </c>
      <c r="J74" s="2">
        <v>2326</v>
      </c>
    </row>
    <row r="75" spans="1:21" x14ac:dyDescent="0.3">
      <c r="A75" t="s">
        <v>105</v>
      </c>
      <c r="B75">
        <v>17</v>
      </c>
      <c r="C75">
        <v>1</v>
      </c>
      <c r="D75" t="str">
        <f t="shared" si="0"/>
        <v>LPG 17:1</v>
      </c>
      <c r="E75" s="1">
        <v>6.79</v>
      </c>
      <c r="F75" s="9" t="s">
        <v>112</v>
      </c>
      <c r="G75" t="s">
        <v>106</v>
      </c>
      <c r="H75" t="s">
        <v>121</v>
      </c>
      <c r="K75" s="1"/>
      <c r="L75" s="1"/>
      <c r="N75" s="8"/>
      <c r="P75" s="1"/>
      <c r="T75" s="1"/>
      <c r="U75" s="1"/>
    </row>
    <row r="76" spans="1:21" x14ac:dyDescent="0.3">
      <c r="A76" t="s">
        <v>24</v>
      </c>
      <c r="B76">
        <v>32</v>
      </c>
      <c r="C76">
        <v>0</v>
      </c>
      <c r="D76" t="str">
        <f t="shared" si="0"/>
        <v>PG 32:0</v>
      </c>
      <c r="E76" s="1">
        <f>AVERAGE(16.3,16.35)</f>
        <v>16.325000000000003</v>
      </c>
      <c r="F76" s="9" t="b">
        <v>0</v>
      </c>
      <c r="K76" s="1"/>
      <c r="L76" s="1"/>
      <c r="N76" s="8"/>
      <c r="P76" s="1"/>
      <c r="T76" s="1"/>
      <c r="U76" s="1"/>
    </row>
    <row r="77" spans="1:21" x14ac:dyDescent="0.3">
      <c r="A77" t="s">
        <v>24</v>
      </c>
      <c r="B77">
        <v>34</v>
      </c>
      <c r="C77">
        <v>0</v>
      </c>
      <c r="D77" t="str">
        <f t="shared" si="0"/>
        <v>PG 34:0</v>
      </c>
      <c r="E77" s="1">
        <f>AVERAGE(17.07,17.11)</f>
        <v>17.09</v>
      </c>
      <c r="F77" s="9" t="b">
        <v>0</v>
      </c>
      <c r="K77" s="1"/>
      <c r="L77" s="1"/>
      <c r="N77" s="8"/>
      <c r="P77" s="1"/>
      <c r="T77" s="1"/>
      <c r="U77" s="1"/>
    </row>
    <row r="78" spans="1:21" x14ac:dyDescent="0.3">
      <c r="A78" t="s">
        <v>24</v>
      </c>
      <c r="B78">
        <v>34</v>
      </c>
      <c r="C78">
        <v>1</v>
      </c>
      <c r="D78" t="str">
        <f t="shared" si="0"/>
        <v>PG 34:1</v>
      </c>
      <c r="E78" s="1">
        <f>AVERAGE(16.4,16.45)</f>
        <v>16.424999999999997</v>
      </c>
      <c r="F78" s="9" t="b">
        <v>0</v>
      </c>
      <c r="K78" s="1"/>
      <c r="L78" s="1"/>
      <c r="N78" s="8"/>
      <c r="P78" s="1"/>
      <c r="T78" s="1"/>
      <c r="U78" s="1"/>
    </row>
    <row r="79" spans="1:21" x14ac:dyDescent="0.3">
      <c r="A79" t="s">
        <v>24</v>
      </c>
      <c r="B79">
        <v>34</v>
      </c>
      <c r="C79">
        <v>2</v>
      </c>
      <c r="D79" t="str">
        <f t="shared" si="0"/>
        <v>PG 34:2</v>
      </c>
      <c r="E79" s="1">
        <f>AVERAGE(15.84,15.85,15.81,15.87)</f>
        <v>15.842499999999999</v>
      </c>
      <c r="F79" s="9" t="b">
        <v>1</v>
      </c>
      <c r="G79" t="s">
        <v>27</v>
      </c>
    </row>
    <row r="80" spans="1:21" x14ac:dyDescent="0.3">
      <c r="A80" t="s">
        <v>24</v>
      </c>
      <c r="B80">
        <v>34</v>
      </c>
      <c r="C80">
        <v>3</v>
      </c>
      <c r="D80" t="str">
        <f t="shared" si="0"/>
        <v>PG 34:3</v>
      </c>
      <c r="E80" s="1">
        <f>AVERAGE(15.28,15.28,15.24,15.31)</f>
        <v>15.2775</v>
      </c>
      <c r="F80" s="9" t="b">
        <v>1</v>
      </c>
      <c r="G80" t="s">
        <v>25</v>
      </c>
    </row>
    <row r="81" spans="1:21" x14ac:dyDescent="0.3">
      <c r="A81" t="s">
        <v>24</v>
      </c>
      <c r="B81">
        <v>36</v>
      </c>
      <c r="C81">
        <v>3</v>
      </c>
      <c r="D81" t="str">
        <f t="shared" si="0"/>
        <v>PG 36:3</v>
      </c>
      <c r="E81" s="1">
        <f>AVERAGE(15.97,15.97)</f>
        <v>15.97</v>
      </c>
      <c r="F81" s="9" t="b">
        <v>1</v>
      </c>
      <c r="G81" t="s">
        <v>43</v>
      </c>
    </row>
    <row r="82" spans="1:21" x14ac:dyDescent="0.3">
      <c r="A82" t="s">
        <v>24</v>
      </c>
      <c r="B82">
        <v>36</v>
      </c>
      <c r="C82">
        <v>4</v>
      </c>
      <c r="D82" t="str">
        <f t="shared" si="0"/>
        <v>PG 36:4</v>
      </c>
      <c r="E82" s="1">
        <f>AVERAGE(15.31,15.32)</f>
        <v>15.315000000000001</v>
      </c>
      <c r="F82" s="9" t="b">
        <v>1</v>
      </c>
      <c r="G82" t="s">
        <v>45</v>
      </c>
    </row>
    <row r="83" spans="1:21" x14ac:dyDescent="0.3">
      <c r="A83" t="s">
        <v>52</v>
      </c>
      <c r="B83">
        <v>16</v>
      </c>
      <c r="C83">
        <v>0</v>
      </c>
      <c r="D83" t="str">
        <f t="shared" si="0"/>
        <v>LPI 16:0</v>
      </c>
      <c r="E83" s="1">
        <f>AVERAGE(6.74,6.77)</f>
        <v>6.7549999999999999</v>
      </c>
      <c r="F83" s="9" t="b">
        <v>1</v>
      </c>
      <c r="G83" t="s">
        <v>53</v>
      </c>
    </row>
    <row r="84" spans="1:21" x14ac:dyDescent="0.3">
      <c r="A84" t="s">
        <v>52</v>
      </c>
      <c r="B84">
        <v>17</v>
      </c>
      <c r="C84">
        <v>1</v>
      </c>
      <c r="D84" t="str">
        <f t="shared" si="0"/>
        <v>LPI 17:1</v>
      </c>
      <c r="E84" s="1">
        <v>6.12</v>
      </c>
      <c r="F84" s="9" t="s">
        <v>112</v>
      </c>
      <c r="G84" t="s">
        <v>107</v>
      </c>
      <c r="H84" t="s">
        <v>122</v>
      </c>
      <c r="K84" s="1"/>
      <c r="L84" s="1"/>
      <c r="N84" s="8"/>
      <c r="P84" s="1"/>
      <c r="T84" s="1"/>
      <c r="U84" s="1"/>
    </row>
    <row r="85" spans="1:21" x14ac:dyDescent="0.3">
      <c r="A85" t="s">
        <v>52</v>
      </c>
      <c r="B85">
        <v>18</v>
      </c>
      <c r="C85">
        <v>0</v>
      </c>
      <c r="D85" t="str">
        <f t="shared" si="0"/>
        <v>LPI 18:0</v>
      </c>
      <c r="E85" s="1">
        <f>AVERAGE(9.09,9.13)</f>
        <v>9.11</v>
      </c>
      <c r="F85" s="9" t="b">
        <v>1</v>
      </c>
      <c r="G85" t="s">
        <v>54</v>
      </c>
    </row>
    <row r="86" spans="1:21" x14ac:dyDescent="0.3">
      <c r="A86" t="s">
        <v>52</v>
      </c>
      <c r="B86">
        <v>18</v>
      </c>
      <c r="C86">
        <v>1</v>
      </c>
      <c r="D86" t="str">
        <f t="shared" si="0"/>
        <v>LPI 18:1</v>
      </c>
      <c r="E86" s="1">
        <f>AVERAGE(7.35,7.38)</f>
        <v>7.3650000000000002</v>
      </c>
      <c r="F86" s="9" t="b">
        <v>1</v>
      </c>
      <c r="G86" t="s">
        <v>55</v>
      </c>
    </row>
    <row r="87" spans="1:21" x14ac:dyDescent="0.3">
      <c r="A87" t="s">
        <v>52</v>
      </c>
      <c r="B87">
        <v>18</v>
      </c>
      <c r="C87">
        <v>2</v>
      </c>
      <c r="D87" t="str">
        <f t="shared" si="0"/>
        <v>LPI 18:2</v>
      </c>
      <c r="E87" s="1">
        <f>AVERAGE(5.77,5.8)</f>
        <v>5.7850000000000001</v>
      </c>
      <c r="F87" s="9" t="b">
        <v>1</v>
      </c>
      <c r="G87" t="s">
        <v>56</v>
      </c>
    </row>
    <row r="88" spans="1:21" x14ac:dyDescent="0.3">
      <c r="A88" t="s">
        <v>10</v>
      </c>
      <c r="B88">
        <v>32</v>
      </c>
      <c r="C88">
        <v>0</v>
      </c>
      <c r="D88" t="str">
        <f t="shared" si="0"/>
        <v>PI 32:0</v>
      </c>
      <c r="E88" s="1">
        <f>AVERAGE(16.06,16.12)</f>
        <v>16.09</v>
      </c>
      <c r="F88" s="9" t="b">
        <v>0</v>
      </c>
    </row>
    <row r="89" spans="1:21" x14ac:dyDescent="0.3">
      <c r="A89" t="s">
        <v>10</v>
      </c>
      <c r="B89">
        <v>34</v>
      </c>
      <c r="C89">
        <v>1</v>
      </c>
      <c r="D89" t="str">
        <f t="shared" si="0"/>
        <v>PI 34:1</v>
      </c>
      <c r="E89" s="1">
        <f>AVERAGE(16.19,16.26)</f>
        <v>16.225000000000001</v>
      </c>
      <c r="F89" s="9" t="b">
        <v>0</v>
      </c>
    </row>
    <row r="90" spans="1:21" x14ac:dyDescent="0.3">
      <c r="A90" t="s">
        <v>10</v>
      </c>
      <c r="B90">
        <v>34</v>
      </c>
      <c r="C90">
        <v>2</v>
      </c>
      <c r="D90" t="str">
        <f t="shared" si="0"/>
        <v>PI 34:2</v>
      </c>
      <c r="E90" s="1">
        <f>AVERAGE(15.59,15.62,15.57,15.64)</f>
        <v>15.605</v>
      </c>
      <c r="F90" s="9" t="b">
        <v>1</v>
      </c>
      <c r="G90" t="s">
        <v>17</v>
      </c>
    </row>
    <row r="91" spans="1:21" x14ac:dyDescent="0.3">
      <c r="A91" t="s">
        <v>10</v>
      </c>
      <c r="B91">
        <v>34</v>
      </c>
      <c r="C91">
        <v>3</v>
      </c>
      <c r="D91" t="str">
        <f t="shared" si="0"/>
        <v>PI 34:3</v>
      </c>
      <c r="E91" s="1">
        <f>AVERAGE(14.99,15.08)</f>
        <v>15.035</v>
      </c>
      <c r="F91" s="9" t="b">
        <v>0</v>
      </c>
    </row>
    <row r="92" spans="1:21" x14ac:dyDescent="0.3">
      <c r="A92" t="s">
        <v>10</v>
      </c>
      <c r="B92">
        <v>36</v>
      </c>
      <c r="C92">
        <v>2</v>
      </c>
      <c r="D92" t="str">
        <f t="shared" si="0"/>
        <v>PI 36:2</v>
      </c>
      <c r="E92" s="1">
        <f>AVERAGE(16.45,16.48,16.42,16.49)</f>
        <v>16.46</v>
      </c>
      <c r="F92" s="9" t="b">
        <v>1</v>
      </c>
      <c r="G92" t="s">
        <v>37</v>
      </c>
    </row>
    <row r="93" spans="1:21" x14ac:dyDescent="0.3">
      <c r="A93" t="s">
        <v>10</v>
      </c>
      <c r="B93">
        <v>36</v>
      </c>
      <c r="C93">
        <v>3</v>
      </c>
      <c r="D93" t="str">
        <f t="shared" si="0"/>
        <v>PI 36:3</v>
      </c>
      <c r="E93" s="1">
        <f>AVERAGE(15.73,15.73,15.97)</f>
        <v>15.81</v>
      </c>
      <c r="F93" s="9" t="b">
        <v>1</v>
      </c>
      <c r="G93" t="s">
        <v>38</v>
      </c>
    </row>
    <row r="94" spans="1:21" x14ac:dyDescent="0.3">
      <c r="A94" t="s">
        <v>10</v>
      </c>
      <c r="B94">
        <v>36</v>
      </c>
      <c r="C94">
        <v>4</v>
      </c>
      <c r="D94" t="str">
        <f t="shared" si="0"/>
        <v>PI 36:4</v>
      </c>
      <c r="E94" s="1">
        <f>AVERAGE(15.08,15.08,15.04,15.13)</f>
        <v>15.082500000000001</v>
      </c>
      <c r="F94" s="9" t="b">
        <v>1</v>
      </c>
      <c r="G94" t="s">
        <v>16</v>
      </c>
    </row>
    <row r="95" spans="1:21" x14ac:dyDescent="0.3">
      <c r="A95" t="s">
        <v>10</v>
      </c>
      <c r="B95">
        <v>36</v>
      </c>
      <c r="C95">
        <v>5</v>
      </c>
      <c r="D95" t="str">
        <f t="shared" si="0"/>
        <v>PI 36:5</v>
      </c>
      <c r="E95" s="1">
        <f>AVERAGE(14.42,14.51)</f>
        <v>14.465</v>
      </c>
      <c r="F95" s="9" t="b">
        <v>0</v>
      </c>
    </row>
    <row r="96" spans="1:21" s="3" customFormat="1" x14ac:dyDescent="0.3">
      <c r="A96" t="s">
        <v>108</v>
      </c>
      <c r="B96">
        <v>17</v>
      </c>
      <c r="C96">
        <v>1</v>
      </c>
      <c r="D96" t="str">
        <f t="shared" si="0"/>
        <v>LPS 17:1</v>
      </c>
      <c r="E96" s="1">
        <v>6.17</v>
      </c>
      <c r="F96" s="9" t="s">
        <v>112</v>
      </c>
      <c r="G96" t="s">
        <v>109</v>
      </c>
      <c r="H96" t="s">
        <v>122</v>
      </c>
      <c r="I96"/>
      <c r="J96" s="2"/>
      <c r="K96" s="1"/>
      <c r="L96" s="1"/>
      <c r="M96"/>
      <c r="N96" s="4"/>
      <c r="O96"/>
      <c r="P96" s="1"/>
      <c r="Q96"/>
      <c r="R96"/>
      <c r="S96"/>
      <c r="T96" s="1"/>
      <c r="U96" s="1"/>
    </row>
    <row r="97" spans="1:21" x14ac:dyDescent="0.3">
      <c r="A97" t="s">
        <v>21</v>
      </c>
      <c r="B97">
        <v>34</v>
      </c>
      <c r="C97">
        <v>2</v>
      </c>
      <c r="D97" t="str">
        <f t="shared" si="0"/>
        <v>PS 34:2</v>
      </c>
      <c r="E97" s="1">
        <f>AVERAGE(15.7,15.71,15.73)</f>
        <v>15.713333333333333</v>
      </c>
      <c r="F97" s="9" t="b">
        <v>1</v>
      </c>
      <c r="G97" t="s">
        <v>46</v>
      </c>
    </row>
    <row r="98" spans="1:21" x14ac:dyDescent="0.3">
      <c r="A98" t="s">
        <v>21</v>
      </c>
      <c r="B98">
        <v>36</v>
      </c>
      <c r="C98">
        <v>3</v>
      </c>
      <c r="D98" t="str">
        <f t="shared" si="0"/>
        <v>PS 36:3</v>
      </c>
      <c r="E98" s="1">
        <v>15.81</v>
      </c>
      <c r="F98" s="9" t="b">
        <v>1</v>
      </c>
      <c r="G98" t="s">
        <v>44</v>
      </c>
      <c r="H98" t="s">
        <v>117</v>
      </c>
    </row>
    <row r="99" spans="1:21" x14ac:dyDescent="0.3">
      <c r="A99" t="s">
        <v>21</v>
      </c>
      <c r="B99">
        <v>36</v>
      </c>
      <c r="C99">
        <v>4</v>
      </c>
      <c r="D99" t="str">
        <f t="shared" si="0"/>
        <v>PS 36:4</v>
      </c>
      <c r="E99" s="1">
        <f>AVERAGE(15.17,15.18)</f>
        <v>15.175000000000001</v>
      </c>
      <c r="F99" s="9" t="b">
        <v>1</v>
      </c>
      <c r="G99" t="s">
        <v>47</v>
      </c>
    </row>
    <row r="100" spans="1:21" x14ac:dyDescent="0.3">
      <c r="A100" t="s">
        <v>21</v>
      </c>
      <c r="B100">
        <v>38</v>
      </c>
      <c r="C100">
        <v>2</v>
      </c>
      <c r="D100" t="str">
        <f t="shared" si="0"/>
        <v>PS 38:2</v>
      </c>
      <c r="E100" s="1">
        <f>AVERAGE(17.28,17.32)</f>
        <v>17.3</v>
      </c>
      <c r="F100" s="9" t="b">
        <v>0</v>
      </c>
    </row>
    <row r="101" spans="1:21" x14ac:dyDescent="0.3">
      <c r="A101" t="s">
        <v>21</v>
      </c>
      <c r="B101">
        <v>40</v>
      </c>
      <c r="C101">
        <v>3</v>
      </c>
      <c r="D101" t="str">
        <f t="shared" si="0"/>
        <v>PS 40:3</v>
      </c>
      <c r="E101" s="1">
        <f>AVERAGE(17.53,17.58)</f>
        <v>17.555</v>
      </c>
      <c r="F101" s="9" t="b">
        <v>0</v>
      </c>
    </row>
    <row r="102" spans="1:21" x14ac:dyDescent="0.3">
      <c r="A102" t="s">
        <v>78</v>
      </c>
      <c r="B102">
        <v>34</v>
      </c>
      <c r="C102">
        <v>0</v>
      </c>
      <c r="D102" t="str">
        <f t="shared" si="0"/>
        <v>MGDG 34:0</v>
      </c>
      <c r="E102" s="1">
        <f>AVERAGE(18.23,18.29)</f>
        <v>18.259999999999998</v>
      </c>
      <c r="F102" s="9" t="s">
        <v>112</v>
      </c>
      <c r="G102" t="s">
        <v>110</v>
      </c>
      <c r="K102" s="1"/>
      <c r="L102" s="1"/>
      <c r="N102" s="8"/>
      <c r="P102" s="1"/>
      <c r="T102" s="1"/>
      <c r="U102" s="1"/>
    </row>
    <row r="103" spans="1:21" x14ac:dyDescent="0.3">
      <c r="A103" t="s">
        <v>78</v>
      </c>
      <c r="B103">
        <v>34</v>
      </c>
      <c r="C103">
        <v>4</v>
      </c>
      <c r="D103" t="str">
        <f t="shared" si="0"/>
        <v>MGDG 34:4</v>
      </c>
      <c r="E103" s="1">
        <f>AVERAGE(15.86,15.86,15.87)</f>
        <v>15.863333333333332</v>
      </c>
      <c r="F103" s="9" t="b">
        <v>1</v>
      </c>
      <c r="G103" t="s">
        <v>79</v>
      </c>
    </row>
    <row r="104" spans="1:21" x14ac:dyDescent="0.3">
      <c r="A104" t="s">
        <v>78</v>
      </c>
      <c r="B104">
        <v>34</v>
      </c>
      <c r="C104">
        <v>5</v>
      </c>
      <c r="D104" t="str">
        <f t="shared" si="0"/>
        <v>MGDG 34:5</v>
      </c>
      <c r="E104" s="1">
        <f>AVERAGE(15.23,15.24)</f>
        <v>15.234999999999999</v>
      </c>
      <c r="F104" s="9" t="b">
        <v>1</v>
      </c>
      <c r="G104" t="s">
        <v>80</v>
      </c>
    </row>
    <row r="105" spans="1:21" x14ac:dyDescent="0.3">
      <c r="A105" t="s">
        <v>78</v>
      </c>
      <c r="B105">
        <v>34</v>
      </c>
      <c r="C105">
        <v>6</v>
      </c>
      <c r="D105" t="str">
        <f t="shared" si="0"/>
        <v>MGDG 34:6</v>
      </c>
      <c r="E105" s="1">
        <f>AVERAGE(14.57,14.58)</f>
        <v>14.574999999999999</v>
      </c>
      <c r="F105" s="9" t="b">
        <v>1</v>
      </c>
      <c r="G105" t="s">
        <v>81</v>
      </c>
    </row>
    <row r="106" spans="1:21" x14ac:dyDescent="0.3">
      <c r="A106" t="s">
        <v>78</v>
      </c>
      <c r="B106">
        <v>36</v>
      </c>
      <c r="C106">
        <v>2</v>
      </c>
      <c r="D106" t="str">
        <f t="shared" si="0"/>
        <v>MGDG 36:2</v>
      </c>
      <c r="E106" s="1">
        <v>17.71</v>
      </c>
      <c r="F106" s="9" t="b">
        <v>0</v>
      </c>
    </row>
    <row r="107" spans="1:21" x14ac:dyDescent="0.3">
      <c r="A107" t="s">
        <v>78</v>
      </c>
      <c r="B107">
        <v>36</v>
      </c>
      <c r="C107">
        <v>3</v>
      </c>
      <c r="D107" t="str">
        <f t="shared" si="0"/>
        <v>MGDG 36:3</v>
      </c>
      <c r="E107" s="1">
        <f>AVERAGE(17.17,17.23)</f>
        <v>17.200000000000003</v>
      </c>
      <c r="F107" s="9" t="b">
        <v>0</v>
      </c>
    </row>
    <row r="108" spans="1:21" x14ac:dyDescent="0.3">
      <c r="A108" t="s">
        <v>78</v>
      </c>
      <c r="B108">
        <v>36</v>
      </c>
      <c r="C108">
        <v>4</v>
      </c>
      <c r="D108" t="str">
        <f t="shared" si="0"/>
        <v>MGDG 36:4</v>
      </c>
      <c r="E108" s="1">
        <f>AVERAGE(16.57,16.67)</f>
        <v>16.62</v>
      </c>
      <c r="F108" s="9" t="b">
        <v>0</v>
      </c>
    </row>
    <row r="109" spans="1:21" x14ac:dyDescent="0.3">
      <c r="A109" t="s">
        <v>78</v>
      </c>
      <c r="B109">
        <v>36</v>
      </c>
      <c r="C109">
        <v>5</v>
      </c>
      <c r="D109" t="str">
        <f t="shared" si="0"/>
        <v>MGDG 36:5</v>
      </c>
      <c r="E109" s="1">
        <f>AVERAGE(16.04,16.04,16,16.1)</f>
        <v>16.045000000000002</v>
      </c>
      <c r="F109" s="9" t="b">
        <v>1</v>
      </c>
      <c r="G109" t="s">
        <v>82</v>
      </c>
    </row>
    <row r="110" spans="1:21" x14ac:dyDescent="0.3">
      <c r="A110" t="s">
        <v>78</v>
      </c>
      <c r="B110">
        <v>36</v>
      </c>
      <c r="C110">
        <v>6</v>
      </c>
      <c r="D110" t="str">
        <f t="shared" ref="D110:D127" si="1">A110&amp;" "&amp;B110&amp;":"&amp;C110</f>
        <v>MGDG 36:6</v>
      </c>
      <c r="E110" s="1">
        <f>AVERAGE(15.43,15.43,15.41,15.5)</f>
        <v>15.442499999999999</v>
      </c>
      <c r="F110" s="9" t="b">
        <v>1</v>
      </c>
      <c r="G110" t="s">
        <v>83</v>
      </c>
    </row>
    <row r="111" spans="1:21" x14ac:dyDescent="0.3">
      <c r="A111" t="s">
        <v>71</v>
      </c>
      <c r="B111">
        <v>34</v>
      </c>
      <c r="C111">
        <v>0</v>
      </c>
      <c r="D111" t="str">
        <f t="shared" si="1"/>
        <v>DGDG 34:0</v>
      </c>
      <c r="E111" s="1">
        <f>AVERAGE(17.68,17.76)</f>
        <v>17.72</v>
      </c>
      <c r="F111" s="9" t="b">
        <v>0</v>
      </c>
    </row>
    <row r="112" spans="1:21" x14ac:dyDescent="0.3">
      <c r="A112" t="s">
        <v>71</v>
      </c>
      <c r="B112">
        <v>34</v>
      </c>
      <c r="C112">
        <v>2</v>
      </c>
      <c r="D112" t="str">
        <f t="shared" si="1"/>
        <v>DGDG 34:2</v>
      </c>
      <c r="E112" s="1">
        <f>AVERAGE(16.48,16.55)</f>
        <v>16.515000000000001</v>
      </c>
      <c r="F112" s="9" t="b">
        <v>0</v>
      </c>
    </row>
    <row r="113" spans="1:21" x14ac:dyDescent="0.3">
      <c r="A113" t="s">
        <v>71</v>
      </c>
      <c r="B113">
        <v>34</v>
      </c>
      <c r="C113">
        <v>3</v>
      </c>
      <c r="D113" t="str">
        <f t="shared" si="1"/>
        <v>DGDG 34:3</v>
      </c>
      <c r="E113" s="1">
        <f>AVERAGE(15.91,15.93,15.91,16)</f>
        <v>15.9375</v>
      </c>
      <c r="F113" s="9" t="b">
        <v>1</v>
      </c>
      <c r="G113" t="s">
        <v>72</v>
      </c>
    </row>
    <row r="114" spans="1:21" x14ac:dyDescent="0.3">
      <c r="A114" t="s">
        <v>71</v>
      </c>
      <c r="B114">
        <v>34</v>
      </c>
      <c r="C114">
        <v>4</v>
      </c>
      <c r="D114" t="str">
        <f t="shared" si="1"/>
        <v>DGDG 34:4</v>
      </c>
      <c r="E114" s="1">
        <f>AVERAGE(15.15,15.16)</f>
        <v>15.155000000000001</v>
      </c>
      <c r="F114" s="9" t="b">
        <v>1</v>
      </c>
      <c r="G114" t="s">
        <v>73</v>
      </c>
    </row>
    <row r="115" spans="1:21" x14ac:dyDescent="0.3">
      <c r="A115" t="s">
        <v>71</v>
      </c>
      <c r="B115">
        <v>34</v>
      </c>
      <c r="C115">
        <v>5</v>
      </c>
      <c r="D115" t="str">
        <f t="shared" si="1"/>
        <v>DGDG 34:5</v>
      </c>
      <c r="E115" s="1">
        <f>AVERAGE(14.5,14.53)</f>
        <v>14.515000000000001</v>
      </c>
      <c r="F115" s="9" t="b">
        <v>1</v>
      </c>
      <c r="G115" t="s">
        <v>74</v>
      </c>
    </row>
    <row r="116" spans="1:21" x14ac:dyDescent="0.3">
      <c r="A116" t="s">
        <v>71</v>
      </c>
      <c r="B116">
        <v>34</v>
      </c>
      <c r="C116">
        <v>6</v>
      </c>
      <c r="D116" t="str">
        <f t="shared" si="1"/>
        <v>DGDG 34:6</v>
      </c>
      <c r="E116" s="1">
        <f>AVERAGE(13.83,13.84)</f>
        <v>13.835000000000001</v>
      </c>
      <c r="F116" s="9" t="b">
        <v>1</v>
      </c>
      <c r="G116" t="s">
        <v>75</v>
      </c>
    </row>
    <row r="117" spans="1:21" x14ac:dyDescent="0.3">
      <c r="A117" t="s">
        <v>71</v>
      </c>
      <c r="B117">
        <v>36</v>
      </c>
      <c r="C117">
        <v>0</v>
      </c>
      <c r="D117" t="str">
        <f>A117&amp;" "&amp;B117&amp;":"&amp;C117</f>
        <v>DGDG 36:0</v>
      </c>
      <c r="E117" s="1">
        <v>18.38</v>
      </c>
      <c r="F117" s="9" t="s">
        <v>112</v>
      </c>
      <c r="G117" t="s">
        <v>111</v>
      </c>
      <c r="H117" t="s">
        <v>123</v>
      </c>
      <c r="K117" s="1"/>
      <c r="L117" s="1"/>
      <c r="N117" s="8"/>
      <c r="P117" s="1"/>
      <c r="T117" s="1"/>
      <c r="U117" s="1"/>
    </row>
    <row r="118" spans="1:21" x14ac:dyDescent="0.3">
      <c r="A118" t="s">
        <v>71</v>
      </c>
      <c r="B118">
        <v>36</v>
      </c>
      <c r="C118">
        <v>3</v>
      </c>
      <c r="D118" t="str">
        <f>A118&amp;" "&amp;B118&amp;":"&amp;C118</f>
        <v>DGDG 36:3</v>
      </c>
      <c r="E118" s="1">
        <f>AVERAGE(16.77,16.84)</f>
        <v>16.805</v>
      </c>
      <c r="F118" s="9" t="b">
        <v>0</v>
      </c>
      <c r="K118" s="1"/>
      <c r="L118" s="1"/>
      <c r="N118" s="8"/>
      <c r="P118" s="1"/>
      <c r="T118" s="1"/>
      <c r="U118" s="1"/>
    </row>
    <row r="119" spans="1:21" x14ac:dyDescent="0.3">
      <c r="A119" t="s">
        <v>71</v>
      </c>
      <c r="B119">
        <v>36</v>
      </c>
      <c r="C119">
        <v>4</v>
      </c>
      <c r="D119" t="str">
        <f>A119&amp;" "&amp;B119&amp;":"&amp;C119</f>
        <v>DGDG 36:4</v>
      </c>
      <c r="E119" s="1">
        <f>AVERAGE(15.95,16.06)</f>
        <v>16.004999999999999</v>
      </c>
      <c r="F119" s="9" t="b">
        <v>0</v>
      </c>
      <c r="K119" s="1"/>
      <c r="L119" s="1"/>
      <c r="N119" s="8"/>
      <c r="P119" s="1"/>
      <c r="T119" s="1"/>
      <c r="U119" s="1"/>
    </row>
    <row r="120" spans="1:21" x14ac:dyDescent="0.3">
      <c r="A120" t="s">
        <v>71</v>
      </c>
      <c r="B120">
        <v>36</v>
      </c>
      <c r="C120">
        <v>5</v>
      </c>
      <c r="D120" t="str">
        <f t="shared" si="1"/>
        <v>DGDG 36:5</v>
      </c>
      <c r="E120" s="1">
        <f>AVERAGE(15.38,15.39,15.36,15.46)</f>
        <v>15.397500000000001</v>
      </c>
      <c r="F120" s="9" t="b">
        <v>1</v>
      </c>
      <c r="G120" t="s">
        <v>76</v>
      </c>
    </row>
    <row r="121" spans="1:21" x14ac:dyDescent="0.3">
      <c r="A121" t="s">
        <v>71</v>
      </c>
      <c r="B121">
        <v>36</v>
      </c>
      <c r="C121">
        <v>6</v>
      </c>
      <c r="D121" t="str">
        <f t="shared" si="1"/>
        <v>DGDG 36:6</v>
      </c>
      <c r="E121" s="1">
        <f>AVERAGE(14.75,14.76,14.72,14.83)</f>
        <v>14.764999999999999</v>
      </c>
      <c r="F121" s="9" t="b">
        <v>1</v>
      </c>
      <c r="G121" t="s">
        <v>77</v>
      </c>
    </row>
    <row r="122" spans="1:21" x14ac:dyDescent="0.3">
      <c r="A122" t="s">
        <v>98</v>
      </c>
      <c r="B122">
        <v>18</v>
      </c>
      <c r="C122">
        <v>1</v>
      </c>
      <c r="D122" t="str">
        <f t="shared" si="1"/>
        <v>MG 18:1</v>
      </c>
      <c r="E122" s="1">
        <v>11.15</v>
      </c>
      <c r="F122" s="9" t="b">
        <v>1</v>
      </c>
      <c r="G122" t="s">
        <v>116</v>
      </c>
    </row>
    <row r="123" spans="1:21" x14ac:dyDescent="0.3">
      <c r="A123" t="s">
        <v>32</v>
      </c>
      <c r="B123">
        <v>36</v>
      </c>
      <c r="C123">
        <v>2</v>
      </c>
      <c r="D123" t="str">
        <f t="shared" si="1"/>
        <v>DG 36:2</v>
      </c>
      <c r="E123" s="1">
        <f>AVERAGE(18.66,18.66)</f>
        <v>18.66</v>
      </c>
      <c r="F123" s="9" t="b">
        <v>1</v>
      </c>
      <c r="G123" t="s">
        <v>33</v>
      </c>
    </row>
    <row r="124" spans="1:21" x14ac:dyDescent="0.3">
      <c r="A124" t="s">
        <v>31</v>
      </c>
      <c r="B124">
        <v>42</v>
      </c>
      <c r="C124">
        <v>0</v>
      </c>
      <c r="D124" t="str">
        <f t="shared" si="1"/>
        <v>TG 42:0</v>
      </c>
      <c r="E124" s="1">
        <v>20.71</v>
      </c>
      <c r="F124" s="9" t="b">
        <v>1</v>
      </c>
      <c r="G124" t="s">
        <v>99</v>
      </c>
    </row>
    <row r="125" spans="1:21" x14ac:dyDescent="0.3">
      <c r="A125" t="s">
        <v>31</v>
      </c>
      <c r="B125">
        <v>48</v>
      </c>
      <c r="C125">
        <v>0</v>
      </c>
      <c r="D125" t="str">
        <f t="shared" si="1"/>
        <v>TG 48:0</v>
      </c>
      <c r="E125" s="1">
        <f>AVERAGE(21.77,21.75)</f>
        <v>21.759999999999998</v>
      </c>
      <c r="F125" s="9" t="b">
        <v>1</v>
      </c>
      <c r="G125" t="s">
        <v>100</v>
      </c>
    </row>
    <row r="126" spans="1:21" x14ac:dyDescent="0.3">
      <c r="A126" t="s">
        <v>31</v>
      </c>
      <c r="B126">
        <v>50</v>
      </c>
      <c r="C126">
        <v>2</v>
      </c>
      <c r="D126" t="str">
        <f t="shared" si="1"/>
        <v>TG 50:2</v>
      </c>
      <c r="E126" s="1">
        <f>AVERAGE(21.51,21.49)</f>
        <v>21.5</v>
      </c>
      <c r="F126" s="9" t="b">
        <v>1</v>
      </c>
      <c r="G126" t="s">
        <v>101</v>
      </c>
    </row>
    <row r="127" spans="1:21" x14ac:dyDescent="0.3">
      <c r="A127" t="s">
        <v>31</v>
      </c>
      <c r="B127">
        <v>54</v>
      </c>
      <c r="C127">
        <v>3</v>
      </c>
      <c r="D127" t="str">
        <f t="shared" si="1"/>
        <v>TG 54:3</v>
      </c>
      <c r="E127" s="1">
        <f>AVERAGE(21.8,21.83)</f>
        <v>21.814999999999998</v>
      </c>
      <c r="F127" s="9" t="b">
        <v>1</v>
      </c>
      <c r="G127" t="s">
        <v>102</v>
      </c>
    </row>
  </sheetData>
  <autoFilter ref="A1:L127" xr:uid="{147213B5-EE2A-48F5-B604-A0A0D2D7B298}"/>
  <sortState xmlns:xlrd2="http://schemas.microsoft.com/office/spreadsheetml/2017/richdata2" ref="A30:L94">
    <sortCondition ref="A1:A94"/>
  </sortState>
  <phoneticPr fontId="1" type="noConversion"/>
  <conditionalFormatting sqref="D1:D28 D32:D1048576">
    <cfRule type="duplicateValues" dxfId="15" priority="24"/>
  </conditionalFormatting>
  <conditionalFormatting sqref="F1:F1048576">
    <cfRule type="cellIs" dxfId="14" priority="2" operator="equal">
      <formula>"IS"</formula>
    </cfRule>
    <cfRule type="cellIs" dxfId="13" priority="22" operator="equal">
      <formula>TRUE</formula>
    </cfRule>
  </conditionalFormatting>
  <conditionalFormatting sqref="G15">
    <cfRule type="duplicateValues" dxfId="12" priority="6"/>
  </conditionalFormatting>
  <conditionalFormatting sqref="G21:G22">
    <cfRule type="containsText" dxfId="11" priority="10" operator="containsText" text="tr">
      <formula>NOT(ISERROR(SEARCH("tr",G21)))</formula>
    </cfRule>
  </conditionalFormatting>
  <conditionalFormatting sqref="G46:G48">
    <cfRule type="duplicateValues" dxfId="10" priority="34"/>
  </conditionalFormatting>
  <conditionalFormatting sqref="G49:G52">
    <cfRule type="duplicateValues" dxfId="9" priority="23"/>
  </conditionalFormatting>
  <conditionalFormatting sqref="G61">
    <cfRule type="duplicateValues" dxfId="8" priority="21"/>
  </conditionalFormatting>
  <conditionalFormatting sqref="G62">
    <cfRule type="duplicateValues" dxfId="7" priority="20"/>
  </conditionalFormatting>
  <conditionalFormatting sqref="G63">
    <cfRule type="duplicateValues" dxfId="6" priority="19"/>
  </conditionalFormatting>
  <conditionalFormatting sqref="G64:G65">
    <cfRule type="duplicateValues" dxfId="5" priority="17"/>
  </conditionalFormatting>
  <conditionalFormatting sqref="G67:G74">
    <cfRule type="duplicateValues" dxfId="4" priority="18"/>
  </conditionalFormatting>
  <conditionalFormatting sqref="G79">
    <cfRule type="duplicateValues" dxfId="3" priority="16"/>
  </conditionalFormatting>
  <conditionalFormatting sqref="G80">
    <cfRule type="duplicateValues" dxfId="2" priority="15"/>
  </conditionalFormatting>
  <conditionalFormatting sqref="G122">
    <cfRule type="duplicateValues" dxfId="1" priority="5"/>
  </conditionalFormatting>
  <conditionalFormatting sqref="G123">
    <cfRule type="duplicateValues" dxfId="0" priority="4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8AF7-21E5-420D-B45D-AB79E2CD2827}">
  <dimension ref="A1:J31"/>
  <sheetViews>
    <sheetView workbookViewId="0">
      <selection activeCell="B18" sqref="B18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5</v>
      </c>
      <c r="B1" t="s">
        <v>2</v>
      </c>
      <c r="C1" t="s">
        <v>3</v>
      </c>
    </row>
    <row r="2" spans="1:3" s="3" customFormat="1" x14ac:dyDescent="0.3">
      <c r="A2" s="6">
        <v>15.66</v>
      </c>
      <c r="B2" s="5">
        <v>30</v>
      </c>
      <c r="C2" s="5">
        <v>1</v>
      </c>
    </row>
    <row r="3" spans="1:3" s="3" customFormat="1" x14ac:dyDescent="0.3">
      <c r="A3" s="6">
        <v>16.02</v>
      </c>
      <c r="B3" s="5">
        <v>33</v>
      </c>
      <c r="C3" s="5">
        <v>2</v>
      </c>
    </row>
    <row r="4" spans="1:3" s="3" customFormat="1" x14ac:dyDescent="0.3">
      <c r="A4" s="6">
        <v>17.04</v>
      </c>
      <c r="B4" s="5">
        <v>34</v>
      </c>
      <c r="C4" s="5">
        <v>1</v>
      </c>
    </row>
    <row r="5" spans="1:3" s="3" customFormat="1" x14ac:dyDescent="0.3">
      <c r="A5" s="6">
        <v>16.484999999999999</v>
      </c>
      <c r="B5" s="5">
        <v>34</v>
      </c>
      <c r="C5" s="5">
        <v>2</v>
      </c>
    </row>
    <row r="6" spans="1:3" s="3" customFormat="1" x14ac:dyDescent="0.3">
      <c r="A6" s="6">
        <v>15.69</v>
      </c>
      <c r="B6" s="5">
        <v>34</v>
      </c>
      <c r="C6" s="5">
        <v>3</v>
      </c>
    </row>
    <row r="7" spans="1:3" s="3" customFormat="1" x14ac:dyDescent="0.3">
      <c r="A7" s="7">
        <v>15.87</v>
      </c>
      <c r="B7" s="5">
        <v>34</v>
      </c>
      <c r="C7" s="5">
        <v>3</v>
      </c>
    </row>
    <row r="8" spans="1:3" s="3" customFormat="1" x14ac:dyDescent="0.3">
      <c r="A8" s="7">
        <v>15.08</v>
      </c>
      <c r="B8" s="5">
        <v>34</v>
      </c>
      <c r="C8" s="5">
        <v>4</v>
      </c>
    </row>
    <row r="9" spans="1:3" s="3" customFormat="1" x14ac:dyDescent="0.3">
      <c r="A9" s="7">
        <v>16.86</v>
      </c>
      <c r="B9" s="5">
        <v>35</v>
      </c>
      <c r="C9" s="5">
        <v>2</v>
      </c>
    </row>
    <row r="10" spans="1:3" s="3" customFormat="1" x14ac:dyDescent="0.3">
      <c r="A10" s="7">
        <v>17.810000000000002</v>
      </c>
      <c r="B10" s="5">
        <v>36</v>
      </c>
      <c r="C10" s="5">
        <v>1</v>
      </c>
    </row>
    <row r="11" spans="1:3" s="3" customFormat="1" x14ac:dyDescent="0.3">
      <c r="A11" s="6">
        <v>17.28</v>
      </c>
      <c r="B11" s="5">
        <v>36</v>
      </c>
      <c r="C11" s="5">
        <v>2</v>
      </c>
    </row>
    <row r="12" spans="1:3" s="3" customFormat="1" x14ac:dyDescent="0.3">
      <c r="A12" s="7">
        <v>16.55</v>
      </c>
      <c r="B12" s="5">
        <v>36</v>
      </c>
      <c r="C12" s="5">
        <v>3</v>
      </c>
    </row>
    <row r="13" spans="1:3" s="3" customFormat="1" x14ac:dyDescent="0.3">
      <c r="A13" s="7">
        <v>16.75</v>
      </c>
      <c r="B13" s="5">
        <v>36</v>
      </c>
      <c r="C13" s="5">
        <v>3</v>
      </c>
    </row>
    <row r="14" spans="1:3" s="3" customFormat="1" x14ac:dyDescent="0.3">
      <c r="A14" s="7">
        <v>15.93</v>
      </c>
      <c r="B14" s="5">
        <v>36</v>
      </c>
      <c r="C14" s="5">
        <v>4</v>
      </c>
    </row>
    <row r="15" spans="1:3" s="3" customFormat="1" x14ac:dyDescent="0.3">
      <c r="A15" s="7">
        <v>15.33</v>
      </c>
      <c r="B15" s="5">
        <v>36</v>
      </c>
      <c r="C15" s="5">
        <v>5</v>
      </c>
    </row>
    <row r="16" spans="1:3" x14ac:dyDescent="0.3">
      <c r="A16" s="7">
        <v>14.74</v>
      </c>
      <c r="B16" s="5">
        <v>36</v>
      </c>
      <c r="C16" s="5">
        <v>6</v>
      </c>
    </row>
    <row r="17" spans="1:10" x14ac:dyDescent="0.3">
      <c r="A17" s="1">
        <v>16.239999999999998</v>
      </c>
      <c r="B17">
        <v>30</v>
      </c>
      <c r="C17">
        <v>0</v>
      </c>
    </row>
    <row r="19" spans="1:10" x14ac:dyDescent="0.3">
      <c r="B19" s="5"/>
      <c r="C19" s="5"/>
    </row>
    <row r="21" spans="1:10" x14ac:dyDescent="0.3">
      <c r="J21" s="1"/>
    </row>
    <row r="22" spans="1:10" x14ac:dyDescent="0.3">
      <c r="J22" s="1"/>
    </row>
    <row r="23" spans="1:10" x14ac:dyDescent="0.3">
      <c r="J23" s="1"/>
    </row>
    <row r="24" spans="1:10" x14ac:dyDescent="0.3">
      <c r="J24" s="1"/>
    </row>
    <row r="25" spans="1:10" x14ac:dyDescent="0.3">
      <c r="J25" s="1"/>
    </row>
    <row r="26" spans="1:10" x14ac:dyDescent="0.3">
      <c r="J26" s="1"/>
    </row>
    <row r="31" spans="1:10" s="3" customFormat="1" x14ac:dyDescent="0.3">
      <c r="A31" s="4"/>
    </row>
  </sheetData>
  <sortState xmlns:xlrd2="http://schemas.microsoft.com/office/spreadsheetml/2017/richdata2" ref="A11:C29">
    <sortCondition ref="B11:B29"/>
    <sortCondition ref="C11:C29"/>
    <sortCondition ref="A11:A29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KMD</vt:lpstr>
    </vt:vector>
  </TitlesOfParts>
  <Company>Fondazione Edmund Mach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Mar Garcia-Aloy</cp:lastModifiedBy>
  <dcterms:created xsi:type="dcterms:W3CDTF">2023-08-23T13:22:37Z</dcterms:created>
  <dcterms:modified xsi:type="dcterms:W3CDTF">2023-11-05T17:39:22Z</dcterms:modified>
</cp:coreProperties>
</file>