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Vorstudie\parameterstudie-hbv\"/>
    </mc:Choice>
  </mc:AlternateContent>
  <xr:revisionPtr revIDLastSave="0" documentId="13_ncr:1_{BCFA633E-2C62-4DB6-9374-E5F8E2DAF262}" xr6:coauthVersionLast="45" xr6:coauthVersionMax="45" xr10:uidLastSave="{00000000-0000-0000-0000-000000000000}"/>
  <bookViews>
    <workbookView xWindow="-108" yWindow="-108" windowWidth="23256" windowHeight="12576" xr2:uid="{2F87F13A-F0A3-481A-9C12-A578F1063718}"/>
  </bookViews>
  <sheets>
    <sheet name="Bemessung" sheetId="1" r:id="rId1"/>
    <sheet name="SG - Stabwe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" i="1" l="1"/>
  <c r="C215" i="1" l="1"/>
  <c r="C214" i="1"/>
  <c r="C202" i="1"/>
  <c r="C21" i="1" l="1"/>
  <c r="C210" i="1"/>
  <c r="C223" i="1"/>
  <c r="C203" i="1"/>
  <c r="C197" i="1"/>
  <c r="C189" i="1"/>
  <c r="C188" i="1"/>
  <c r="C184" i="1"/>
  <c r="C177" i="1"/>
  <c r="C176" i="1"/>
  <c r="C95" i="1"/>
  <c r="C94" i="1"/>
  <c r="C150" i="1" l="1"/>
  <c r="C149" i="1"/>
  <c r="C152" i="1" l="1"/>
  <c r="C171" i="1"/>
  <c r="C50" i="1"/>
  <c r="F83" i="1"/>
  <c r="F85" i="1"/>
  <c r="F86" i="1"/>
  <c r="C48" i="1"/>
  <c r="C179" i="1"/>
  <c r="C68" i="1" l="1"/>
  <c r="C98" i="1"/>
  <c r="C101" i="1"/>
  <c r="C157" i="1"/>
  <c r="C158" i="1" s="1"/>
  <c r="C159" i="1" s="1"/>
  <c r="C102" i="1" l="1"/>
  <c r="C103" i="1"/>
  <c r="C99" i="1"/>
  <c r="C104" i="1"/>
  <c r="C76" i="1"/>
  <c r="C77" i="1" s="1"/>
  <c r="C74" i="1"/>
  <c r="C162" i="1"/>
  <c r="C43" i="1"/>
  <c r="C185" i="1"/>
  <c r="C205" i="1"/>
  <c r="C62" i="1"/>
  <c r="C93" i="1" s="1"/>
  <c r="C163" i="1"/>
  <c r="C108" i="1"/>
  <c r="C106" i="1"/>
  <c r="C107" i="1"/>
  <c r="C41" i="1"/>
  <c r="C37" i="1"/>
  <c r="C39" i="1"/>
  <c r="C45" i="1"/>
  <c r="C216" i="1" l="1"/>
  <c r="C155" i="1"/>
  <c r="F155" i="1" s="1"/>
  <c r="F152" i="1"/>
  <c r="C190" i="1"/>
  <c r="C191" i="1" s="1"/>
  <c r="C181" i="1"/>
  <c r="C229" i="1"/>
  <c r="C232" i="1" s="1"/>
  <c r="C230" i="1"/>
  <c r="C233" i="1" s="1"/>
  <c r="C66" i="1"/>
  <c r="C92" i="1" s="1"/>
  <c r="C91" i="1" s="1"/>
  <c r="C211" i="1"/>
  <c r="F211" i="1" s="1"/>
  <c r="F159" i="1"/>
  <c r="F185" i="1"/>
  <c r="F205" i="1"/>
  <c r="C204" i="1"/>
  <c r="C207" i="1"/>
  <c r="C208" i="1"/>
  <c r="F208" i="1" s="1"/>
  <c r="C182" i="1"/>
  <c r="F182" i="1" s="1"/>
  <c r="C178" i="1"/>
  <c r="F179" i="1"/>
  <c r="C151" i="1"/>
  <c r="C154" i="1"/>
  <c r="C164" i="1"/>
  <c r="C165" i="1" s="1"/>
  <c r="F165" i="1" s="1"/>
  <c r="C87" i="1"/>
  <c r="C88" i="1" s="1"/>
  <c r="C69" i="1"/>
  <c r="C63" i="1"/>
  <c r="C64" i="1" s="1"/>
  <c r="C65" i="1" s="1"/>
  <c r="C224" i="1" l="1"/>
  <c r="F224" i="1" s="1"/>
  <c r="C219" i="1"/>
  <c r="C220" i="1" s="1"/>
  <c r="C193" i="1"/>
  <c r="C194" i="1" s="1"/>
  <c r="F191" i="1"/>
  <c r="C217" i="1"/>
  <c r="F217" i="1" s="1"/>
  <c r="C167" i="1"/>
  <c r="C168" i="1" s="1"/>
  <c r="C89" i="1"/>
  <c r="C172" i="1" l="1"/>
  <c r="F172" i="1" s="1"/>
  <c r="C198" i="1"/>
  <c r="F198" i="1" s="1"/>
</calcChain>
</file>

<file path=xl/sharedStrings.xml><?xml version="1.0" encoding="utf-8"?>
<sst xmlns="http://schemas.openxmlformats.org/spreadsheetml/2006/main" count="503" uniqueCount="273">
  <si>
    <t>1.2 Beton</t>
  </si>
  <si>
    <t>1.3 Verbindungsmittel</t>
  </si>
  <si>
    <t>3. Schnittgrößen</t>
  </si>
  <si>
    <t>4. Nachweise</t>
  </si>
  <si>
    <t>4.1 Grenzzustand der Tragfähigkeit</t>
  </si>
  <si>
    <t>4.2 Grenzzustand der Gebrauchstaugleichkeit</t>
  </si>
  <si>
    <t>4.2.1 Verformung in t=0</t>
  </si>
  <si>
    <t>4.2.2 Verformung in t=∞</t>
  </si>
  <si>
    <t>Holzgüte</t>
  </si>
  <si>
    <t>GL24h</t>
  </si>
  <si>
    <t>Betongüte</t>
  </si>
  <si>
    <t>Druckfestigkeit</t>
  </si>
  <si>
    <t>Zugfestigkeit</t>
  </si>
  <si>
    <t>E-Modul</t>
  </si>
  <si>
    <t>N/mm²</t>
  </si>
  <si>
    <t>Biegefestigkeit</t>
  </si>
  <si>
    <t>Zugfestigkeit*</t>
  </si>
  <si>
    <t>Druckfestigkeit*</t>
  </si>
  <si>
    <t>* = parallel zur Faser</t>
  </si>
  <si>
    <t>Rohdichte</t>
  </si>
  <si>
    <t>kg/m³</t>
  </si>
  <si>
    <r>
      <t>E</t>
    </r>
    <r>
      <rPr>
        <vertAlign val="subscript"/>
        <sz val="11"/>
        <color theme="1"/>
        <rFont val="Arial"/>
        <family val="2"/>
      </rPr>
      <t>0,mean</t>
    </r>
  </si>
  <si>
    <r>
      <t>f</t>
    </r>
    <r>
      <rPr>
        <vertAlign val="subscript"/>
        <sz val="11"/>
        <color theme="1"/>
        <rFont val="Arial"/>
        <family val="2"/>
      </rPr>
      <t>c0k</t>
    </r>
  </si>
  <si>
    <r>
      <t>f</t>
    </r>
    <r>
      <rPr>
        <vertAlign val="subscript"/>
        <sz val="11"/>
        <color theme="1"/>
        <rFont val="Arial"/>
        <family val="2"/>
      </rPr>
      <t>t0k</t>
    </r>
  </si>
  <si>
    <r>
      <t>f</t>
    </r>
    <r>
      <rPr>
        <vertAlign val="subscript"/>
        <sz val="11"/>
        <color theme="1"/>
        <rFont val="Arial"/>
        <family val="2"/>
      </rPr>
      <t>mk</t>
    </r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</si>
  <si>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Arial"/>
        <family val="2"/>
      </rPr>
      <t>k</t>
    </r>
  </si>
  <si>
    <r>
      <t>ρ</t>
    </r>
    <r>
      <rPr>
        <vertAlign val="subscript"/>
        <sz val="11"/>
        <color theme="1"/>
        <rFont val="Arial"/>
        <family val="2"/>
      </rPr>
      <t>mean</t>
    </r>
  </si>
  <si>
    <r>
      <t>f</t>
    </r>
    <r>
      <rPr>
        <vertAlign val="subscript"/>
        <sz val="11"/>
        <color theme="1"/>
        <rFont val="Arial"/>
        <family val="2"/>
      </rPr>
      <t>ck</t>
    </r>
  </si>
  <si>
    <r>
      <t>f</t>
    </r>
    <r>
      <rPr>
        <vertAlign val="subscript"/>
        <sz val="11"/>
        <color theme="1"/>
        <rFont val="Arial"/>
        <family val="2"/>
      </rPr>
      <t>ctm</t>
    </r>
  </si>
  <si>
    <r>
      <t>E</t>
    </r>
    <r>
      <rPr>
        <vertAlign val="subscript"/>
        <sz val="11"/>
        <color theme="1"/>
        <rFont val="Arial"/>
        <family val="2"/>
      </rPr>
      <t>cm</t>
    </r>
  </si>
  <si>
    <t>Balkenhöhe</t>
  </si>
  <si>
    <t>Balkenbreite</t>
  </si>
  <si>
    <r>
      <t>h</t>
    </r>
    <r>
      <rPr>
        <vertAlign val="subscript"/>
        <sz val="11"/>
        <color theme="1"/>
        <rFont val="Arial"/>
        <family val="2"/>
      </rPr>
      <t>t</t>
    </r>
  </si>
  <si>
    <r>
      <t>b</t>
    </r>
    <r>
      <rPr>
        <vertAlign val="subscript"/>
        <sz val="11"/>
        <color theme="1"/>
        <rFont val="Arial"/>
        <family val="2"/>
      </rPr>
      <t>t</t>
    </r>
  </si>
  <si>
    <t>Betonhöhe</t>
  </si>
  <si>
    <t>Mittragende Breite</t>
  </si>
  <si>
    <r>
      <t>h</t>
    </r>
    <r>
      <rPr>
        <vertAlign val="subscript"/>
        <sz val="11"/>
        <color theme="1"/>
        <rFont val="Arial"/>
        <family val="2"/>
      </rPr>
      <t>c</t>
    </r>
  </si>
  <si>
    <r>
      <t>b</t>
    </r>
    <r>
      <rPr>
        <vertAlign val="subscript"/>
        <sz val="11"/>
        <color theme="1"/>
        <rFont val="Arial"/>
        <family val="2"/>
      </rPr>
      <t>c</t>
    </r>
  </si>
  <si>
    <t>m</t>
  </si>
  <si>
    <t>Typ</t>
  </si>
  <si>
    <t>Kerven</t>
  </si>
  <si>
    <t>Anzahl je Hälfte</t>
  </si>
  <si>
    <t>Kerventiefe</t>
  </si>
  <si>
    <t>Kervenbreite</t>
  </si>
  <si>
    <t>Kervenlänge</t>
  </si>
  <si>
    <t>Vorholzlänge</t>
  </si>
  <si>
    <t>Stk</t>
  </si>
  <si>
    <r>
      <t>t</t>
    </r>
    <r>
      <rPr>
        <vertAlign val="subscript"/>
        <sz val="11"/>
        <color theme="1"/>
        <rFont val="Arial"/>
        <family val="2"/>
      </rPr>
      <t>v</t>
    </r>
  </si>
  <si>
    <r>
      <t>x</t>
    </r>
    <r>
      <rPr>
        <vertAlign val="subscript"/>
        <sz val="11"/>
        <color theme="1"/>
        <rFont val="Arial"/>
        <family val="2"/>
      </rPr>
      <t>v,eff</t>
    </r>
  </si>
  <si>
    <r>
      <t>l</t>
    </r>
    <r>
      <rPr>
        <vertAlign val="subscript"/>
        <sz val="11"/>
        <color theme="1"/>
        <rFont val="Arial"/>
        <family val="2"/>
      </rPr>
      <t>v</t>
    </r>
  </si>
  <si>
    <r>
      <t>a</t>
    </r>
    <r>
      <rPr>
        <vertAlign val="subscript"/>
        <sz val="11"/>
        <color theme="1"/>
        <rFont val="Arial"/>
        <family val="2"/>
      </rPr>
      <t>v</t>
    </r>
  </si>
  <si>
    <r>
      <t>n</t>
    </r>
    <r>
      <rPr>
        <vertAlign val="subscript"/>
        <sz val="11"/>
        <color theme="1"/>
        <rFont val="Arial"/>
        <family val="2"/>
      </rPr>
      <t>v</t>
    </r>
  </si>
  <si>
    <r>
      <t>K</t>
    </r>
    <r>
      <rPr>
        <vertAlign val="subscript"/>
        <sz val="11"/>
        <color theme="1"/>
        <rFont val="Arial"/>
        <family val="2"/>
      </rPr>
      <t>ser</t>
    </r>
  </si>
  <si>
    <r>
      <t>K</t>
    </r>
    <r>
      <rPr>
        <vertAlign val="subscript"/>
        <sz val="11"/>
        <color theme="1"/>
        <rFont val="Arial"/>
        <family val="2"/>
      </rPr>
      <t>u</t>
    </r>
  </si>
  <si>
    <t>N/mm</t>
  </si>
  <si>
    <t>Verschiebungsmodul je VM</t>
  </si>
  <si>
    <t>Nutzungsklasse</t>
  </si>
  <si>
    <t>NKL</t>
  </si>
  <si>
    <t>Klasse der Lasteinwirkungsdauer</t>
  </si>
  <si>
    <t>KLED</t>
  </si>
  <si>
    <t>mittel</t>
  </si>
  <si>
    <r>
      <t>ƴ</t>
    </r>
    <r>
      <rPr>
        <vertAlign val="subscript"/>
        <sz val="11"/>
        <color theme="1"/>
        <rFont val="Calibri"/>
        <family val="2"/>
      </rPr>
      <t>t</t>
    </r>
  </si>
  <si>
    <r>
      <t>ƴ</t>
    </r>
    <r>
      <rPr>
        <vertAlign val="subscript"/>
        <sz val="11"/>
        <color theme="1"/>
        <rFont val="Calibri"/>
        <family val="2"/>
      </rPr>
      <t>c</t>
    </r>
  </si>
  <si>
    <r>
      <t>ƴ</t>
    </r>
    <r>
      <rPr>
        <vertAlign val="subscript"/>
        <sz val="11"/>
        <color theme="1"/>
        <rFont val="Calibri"/>
        <family val="2"/>
      </rPr>
      <t>s</t>
    </r>
  </si>
  <si>
    <r>
      <t>ƴ</t>
    </r>
    <r>
      <rPr>
        <vertAlign val="subscript"/>
        <sz val="11"/>
        <color theme="1"/>
        <rFont val="Calibri"/>
        <family val="2"/>
      </rPr>
      <t>VM</t>
    </r>
  </si>
  <si>
    <t>Holz</t>
  </si>
  <si>
    <t>Verbindungsmittel</t>
  </si>
  <si>
    <t>3.1.1 Infolge Konstruktionseigengewicht</t>
  </si>
  <si>
    <t>3.1.1 Infolge Ausbaulast</t>
  </si>
  <si>
    <t>3.2 Bemessungsschnittgrößen</t>
  </si>
  <si>
    <r>
      <t>k</t>
    </r>
    <r>
      <rPr>
        <vertAlign val="subscript"/>
        <sz val="11"/>
        <color theme="1"/>
        <rFont val="Arial"/>
        <family val="2"/>
      </rPr>
      <t>mod</t>
    </r>
  </si>
  <si>
    <r>
      <t>k</t>
    </r>
    <r>
      <rPr>
        <vertAlign val="subscript"/>
        <sz val="11"/>
        <color theme="1"/>
        <rFont val="Arial"/>
        <family val="2"/>
      </rPr>
      <t>mod,VM</t>
    </r>
  </si>
  <si>
    <t>Beton</t>
  </si>
  <si>
    <t>Stahl</t>
  </si>
  <si>
    <t>Langzeitverhalten Beton</t>
  </si>
  <si>
    <t>Kriechbeiwert Beton</t>
  </si>
  <si>
    <t>Veformungsbeiwert Holz</t>
  </si>
  <si>
    <t>Verformungsbeiwert VM</t>
  </si>
  <si>
    <t>Schwindbeiwert Beton</t>
  </si>
  <si>
    <t>1. Bemessungsparameter</t>
  </si>
  <si>
    <t>1.1 Teilsicherheitsbeiwerte</t>
  </si>
  <si>
    <t>2. System</t>
  </si>
  <si>
    <t>2.1 Holz</t>
  </si>
  <si>
    <r>
      <t>E</t>
    </r>
    <r>
      <rPr>
        <vertAlign val="subscript"/>
        <sz val="11"/>
        <color theme="1"/>
        <rFont val="Arial"/>
        <family val="2"/>
      </rPr>
      <t>td</t>
    </r>
  </si>
  <si>
    <r>
      <t>E</t>
    </r>
    <r>
      <rPr>
        <vertAlign val="subscript"/>
        <sz val="11"/>
        <color theme="1"/>
        <rFont val="Arial"/>
        <family val="2"/>
      </rPr>
      <t>cd</t>
    </r>
  </si>
  <si>
    <r>
      <t>K</t>
    </r>
    <r>
      <rPr>
        <vertAlign val="subscript"/>
        <sz val="11"/>
        <color theme="1"/>
        <rFont val="Arial"/>
        <family val="2"/>
      </rPr>
      <t>d</t>
    </r>
  </si>
  <si>
    <r>
      <t>M</t>
    </r>
    <r>
      <rPr>
        <vertAlign val="subscript"/>
        <sz val="11"/>
        <color theme="1"/>
        <rFont val="Arial"/>
        <family val="2"/>
      </rPr>
      <t>t,g0,y,k</t>
    </r>
  </si>
  <si>
    <r>
      <t>M</t>
    </r>
    <r>
      <rPr>
        <vertAlign val="subscript"/>
        <sz val="11"/>
        <color theme="1"/>
        <rFont val="Arial"/>
        <family val="2"/>
      </rPr>
      <t>c,g0,y,k</t>
    </r>
  </si>
  <si>
    <r>
      <t>N</t>
    </r>
    <r>
      <rPr>
        <vertAlign val="subscript"/>
        <sz val="11"/>
        <color theme="1"/>
        <rFont val="Arial"/>
        <family val="2"/>
      </rPr>
      <t>t,g0,k</t>
    </r>
  </si>
  <si>
    <r>
      <t>N</t>
    </r>
    <r>
      <rPr>
        <vertAlign val="subscript"/>
        <sz val="11"/>
        <color theme="1"/>
        <rFont val="Arial"/>
        <family val="2"/>
      </rPr>
      <t>c,g0,k</t>
    </r>
  </si>
  <si>
    <t>kN</t>
  </si>
  <si>
    <t>3.1 Charakteristische Schnittgrößen</t>
  </si>
  <si>
    <t>kNm</t>
  </si>
  <si>
    <r>
      <t>V</t>
    </r>
    <r>
      <rPr>
        <vertAlign val="subscript"/>
        <sz val="11"/>
        <color theme="1"/>
        <rFont val="Arial"/>
        <family val="2"/>
      </rPr>
      <t>g0,z,k</t>
    </r>
  </si>
  <si>
    <r>
      <t>N</t>
    </r>
    <r>
      <rPr>
        <vertAlign val="subscript"/>
        <sz val="11"/>
        <color theme="1"/>
        <rFont val="Arial"/>
        <family val="2"/>
      </rPr>
      <t>t,q,k</t>
    </r>
  </si>
  <si>
    <r>
      <t>M</t>
    </r>
    <r>
      <rPr>
        <vertAlign val="subscript"/>
        <sz val="11"/>
        <color theme="1"/>
        <rFont val="Arial"/>
        <family val="2"/>
      </rPr>
      <t>t,q,y,k</t>
    </r>
  </si>
  <si>
    <r>
      <t>M</t>
    </r>
    <r>
      <rPr>
        <vertAlign val="subscript"/>
        <sz val="11"/>
        <color theme="1"/>
        <rFont val="Arial"/>
        <family val="2"/>
      </rPr>
      <t>c,q,y,k</t>
    </r>
  </si>
  <si>
    <r>
      <t>V</t>
    </r>
    <r>
      <rPr>
        <vertAlign val="subscript"/>
        <sz val="11"/>
        <color theme="1"/>
        <rFont val="Arial"/>
        <family val="2"/>
      </rPr>
      <t>q,z,k</t>
    </r>
  </si>
  <si>
    <r>
      <t>N</t>
    </r>
    <r>
      <rPr>
        <vertAlign val="subscript"/>
        <sz val="11"/>
        <color theme="1"/>
        <rFont val="Arial"/>
        <family val="2"/>
      </rPr>
      <t>c,q,k</t>
    </r>
  </si>
  <si>
    <t>3.1.1 Infolge Verkehrslast</t>
  </si>
  <si>
    <r>
      <t>N</t>
    </r>
    <r>
      <rPr>
        <vertAlign val="subscript"/>
        <sz val="11"/>
        <color theme="1"/>
        <rFont val="Arial"/>
        <family val="2"/>
      </rPr>
      <t>t,g1,k</t>
    </r>
  </si>
  <si>
    <r>
      <t>M</t>
    </r>
    <r>
      <rPr>
        <vertAlign val="subscript"/>
        <sz val="11"/>
        <color theme="1"/>
        <rFont val="Arial"/>
        <family val="2"/>
      </rPr>
      <t>t,g1,y,k</t>
    </r>
  </si>
  <si>
    <r>
      <t>N</t>
    </r>
    <r>
      <rPr>
        <vertAlign val="subscript"/>
        <sz val="11"/>
        <color theme="1"/>
        <rFont val="Arial"/>
        <family val="2"/>
      </rPr>
      <t>c,g1,k</t>
    </r>
  </si>
  <si>
    <r>
      <t>M</t>
    </r>
    <r>
      <rPr>
        <vertAlign val="subscript"/>
        <sz val="11"/>
        <color theme="1"/>
        <rFont val="Arial"/>
        <family val="2"/>
      </rPr>
      <t>c,g1,y,k</t>
    </r>
  </si>
  <si>
    <r>
      <t>V</t>
    </r>
    <r>
      <rPr>
        <vertAlign val="subscript"/>
        <sz val="11"/>
        <color theme="1"/>
        <rFont val="Arial"/>
        <family val="2"/>
      </rPr>
      <t>g1,z,k</t>
    </r>
  </si>
  <si>
    <t>t = 0</t>
  </si>
  <si>
    <t>t = 3-7a</t>
  </si>
  <si>
    <t xml:space="preserve">GZT </t>
  </si>
  <si>
    <t>GZG</t>
  </si>
  <si>
    <t>[kNm]</t>
  </si>
  <si>
    <t>[kN]</t>
  </si>
  <si>
    <t>LF Eigengewicht</t>
  </si>
  <si>
    <t>LF Nutzlast</t>
  </si>
  <si>
    <r>
      <t>M</t>
    </r>
    <r>
      <rPr>
        <vertAlign val="subscript"/>
        <sz val="11"/>
        <color theme="1"/>
        <rFont val="Arial"/>
        <family val="2"/>
      </rPr>
      <t>tyk</t>
    </r>
  </si>
  <si>
    <r>
      <t>V</t>
    </r>
    <r>
      <rPr>
        <vertAlign val="subscript"/>
        <sz val="11"/>
        <color theme="1"/>
        <rFont val="Arial"/>
        <family val="2"/>
      </rPr>
      <t>tzk</t>
    </r>
  </si>
  <si>
    <r>
      <t>N</t>
    </r>
    <r>
      <rPr>
        <vertAlign val="subscript"/>
        <sz val="11"/>
        <color theme="1"/>
        <rFont val="Arial"/>
        <family val="2"/>
      </rPr>
      <t>tk</t>
    </r>
  </si>
  <si>
    <r>
      <t>M</t>
    </r>
    <r>
      <rPr>
        <vertAlign val="subscript"/>
        <sz val="11"/>
        <color theme="1"/>
        <rFont val="Arial"/>
        <family val="2"/>
      </rPr>
      <t>cyk</t>
    </r>
  </si>
  <si>
    <r>
      <t>V</t>
    </r>
    <r>
      <rPr>
        <vertAlign val="subscript"/>
        <sz val="11"/>
        <color theme="1"/>
        <rFont val="Arial"/>
        <family val="2"/>
      </rPr>
      <t>czk</t>
    </r>
  </si>
  <si>
    <r>
      <t>N</t>
    </r>
    <r>
      <rPr>
        <vertAlign val="subscript"/>
        <sz val="11"/>
        <color theme="1"/>
        <rFont val="Arial"/>
        <family val="2"/>
      </rPr>
      <t>ck</t>
    </r>
  </si>
  <si>
    <t>t = ∞</t>
  </si>
  <si>
    <t>1.4 Querschnittswerte</t>
  </si>
  <si>
    <t>Balkenabstand</t>
  </si>
  <si>
    <t>Balkenlänge</t>
  </si>
  <si>
    <r>
      <t>l</t>
    </r>
    <r>
      <rPr>
        <vertAlign val="subscript"/>
        <sz val="11"/>
        <color theme="1"/>
        <rFont val="Arial"/>
        <family val="2"/>
      </rPr>
      <t>y</t>
    </r>
  </si>
  <si>
    <r>
      <t>l</t>
    </r>
    <r>
      <rPr>
        <vertAlign val="subscript"/>
        <sz val="11"/>
        <color theme="1"/>
        <rFont val="Arial"/>
        <family val="2"/>
      </rPr>
      <t>x</t>
    </r>
  </si>
  <si>
    <r>
      <t>m</t>
    </r>
    <r>
      <rPr>
        <vertAlign val="superscript"/>
        <sz val="11"/>
        <color theme="1"/>
        <rFont val="Arial"/>
        <family val="2"/>
      </rPr>
      <t>4</t>
    </r>
  </si>
  <si>
    <r>
      <t>I</t>
    </r>
    <r>
      <rPr>
        <vertAlign val="subscript"/>
        <sz val="11"/>
        <color theme="1"/>
        <rFont val="Arial"/>
        <family val="2"/>
      </rPr>
      <t>t</t>
    </r>
  </si>
  <si>
    <t>m²</t>
  </si>
  <si>
    <r>
      <t>A</t>
    </r>
    <r>
      <rPr>
        <vertAlign val="subscript"/>
        <sz val="11"/>
        <color theme="1"/>
        <rFont val="Arial"/>
        <family val="2"/>
      </rPr>
      <t>t</t>
    </r>
  </si>
  <si>
    <r>
      <t>A</t>
    </r>
    <r>
      <rPr>
        <vertAlign val="subscript"/>
        <sz val="11"/>
        <color theme="1"/>
        <rFont val="Arial"/>
        <family val="2"/>
      </rPr>
      <t>c</t>
    </r>
  </si>
  <si>
    <r>
      <rPr>
        <sz val="11"/>
        <color theme="1"/>
        <rFont val="Arial"/>
        <family val="2"/>
      </rPr>
      <t>I</t>
    </r>
    <r>
      <rPr>
        <vertAlign val="subscript"/>
        <sz val="11"/>
        <color theme="1"/>
        <rFont val="Arial"/>
        <family val="2"/>
      </rPr>
      <t>c</t>
    </r>
  </si>
  <si>
    <t>1.4 ƴ-Werte</t>
  </si>
  <si>
    <t>Risshöhe</t>
  </si>
  <si>
    <r>
      <t>h</t>
    </r>
    <r>
      <rPr>
        <vertAlign val="subscript"/>
        <sz val="11"/>
        <color theme="1"/>
        <rFont val="Arial"/>
        <family val="2"/>
      </rPr>
      <t>cr</t>
    </r>
  </si>
  <si>
    <t>effektiver QS</t>
  </si>
  <si>
    <t>effekttives FTM</t>
  </si>
  <si>
    <r>
      <t>A</t>
    </r>
    <r>
      <rPr>
        <vertAlign val="subscript"/>
        <sz val="11"/>
        <color theme="1"/>
        <rFont val="Arial"/>
        <family val="2"/>
      </rPr>
      <t>c,eff</t>
    </r>
  </si>
  <si>
    <r>
      <t>I</t>
    </r>
    <r>
      <rPr>
        <vertAlign val="subscript"/>
        <sz val="11"/>
        <color theme="1"/>
        <rFont val="Arial"/>
        <family val="2"/>
      </rPr>
      <t>c,eff</t>
    </r>
  </si>
  <si>
    <t>Widerstandsmoment</t>
  </si>
  <si>
    <t>m³</t>
  </si>
  <si>
    <r>
      <t>W</t>
    </r>
    <r>
      <rPr>
        <vertAlign val="subscript"/>
        <sz val="11"/>
        <color theme="1"/>
        <rFont val="Arial"/>
        <family val="2"/>
      </rPr>
      <t>t</t>
    </r>
  </si>
  <si>
    <r>
      <t>W</t>
    </r>
    <r>
      <rPr>
        <vertAlign val="subscript"/>
        <sz val="11"/>
        <color theme="1"/>
        <rFont val="Arial"/>
        <family val="2"/>
      </rPr>
      <t>c,eff</t>
    </r>
  </si>
  <si>
    <t>Randspannung oben</t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</si>
  <si>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Arial"/>
        <family val="2"/>
      </rPr>
      <t>c,o,d</t>
    </r>
  </si>
  <si>
    <t>ständige Lasten</t>
  </si>
  <si>
    <t>veränderliche Lasten</t>
  </si>
  <si>
    <r>
      <t>ƴ</t>
    </r>
    <r>
      <rPr>
        <vertAlign val="subscript"/>
        <sz val="11"/>
        <color theme="1"/>
        <rFont val="Calibri"/>
        <family val="2"/>
      </rPr>
      <t>G</t>
    </r>
  </si>
  <si>
    <r>
      <t>ƴ</t>
    </r>
    <r>
      <rPr>
        <vertAlign val="subscript"/>
        <sz val="11"/>
        <color theme="1"/>
        <rFont val="Calibri"/>
        <family val="2"/>
      </rPr>
      <t>Q</t>
    </r>
  </si>
  <si>
    <t>4.1.1 Zeitpunkt t=0</t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</si>
  <si>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c,o,t=0</t>
    </r>
  </si>
  <si>
    <t>Randspannung unten</t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</si>
  <si>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Arial"/>
        <family val="2"/>
      </rPr>
      <t>t,u,d</t>
    </r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</si>
  <si>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t,u,t=0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</si>
  <si>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Arial"/>
        <family val="2"/>
      </rPr>
      <t>c,u,d</t>
    </r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</si>
  <si>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c,u,t=0</t>
    </r>
  </si>
  <si>
    <r>
      <t>M</t>
    </r>
    <r>
      <rPr>
        <vertAlign val="subscript"/>
        <sz val="11"/>
        <color theme="1"/>
        <rFont val="Arial"/>
        <family val="2"/>
      </rPr>
      <t>c,d</t>
    </r>
  </si>
  <si>
    <r>
      <t>N</t>
    </r>
    <r>
      <rPr>
        <vertAlign val="subscript"/>
        <sz val="11"/>
        <color theme="1"/>
        <rFont val="Arial"/>
        <family val="2"/>
      </rPr>
      <t>c,d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</si>
  <si>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Arial"/>
        <family val="2"/>
      </rPr>
      <t>t,o,d</t>
    </r>
  </si>
  <si>
    <r>
      <t>M</t>
    </r>
    <r>
      <rPr>
        <vertAlign val="subscript"/>
        <sz val="11"/>
        <color theme="1"/>
        <rFont val="Arial"/>
        <family val="2"/>
      </rPr>
      <t>t,d</t>
    </r>
  </si>
  <si>
    <r>
      <t>N</t>
    </r>
    <r>
      <rPr>
        <vertAlign val="subscript"/>
        <sz val="11"/>
        <color theme="1"/>
        <rFont val="Arial"/>
        <family val="2"/>
      </rPr>
      <t>t,d</t>
    </r>
  </si>
  <si>
    <r>
      <t>k</t>
    </r>
    <r>
      <rPr>
        <vertAlign val="subscript"/>
        <sz val="11"/>
        <color theme="1"/>
        <rFont val="Arial"/>
        <family val="2"/>
      </rPr>
      <t>h</t>
    </r>
  </si>
  <si>
    <t>Höhenfaktor</t>
  </si>
  <si>
    <t>Formbeiwert QS</t>
  </si>
  <si>
    <r>
      <t>k</t>
    </r>
    <r>
      <rPr>
        <vertAlign val="subscript"/>
        <sz val="11"/>
        <color theme="1"/>
        <rFont val="Arial"/>
        <family val="2"/>
      </rPr>
      <t>m</t>
    </r>
  </si>
  <si>
    <r>
      <t>f</t>
    </r>
    <r>
      <rPr>
        <vertAlign val="subscript"/>
        <sz val="11"/>
        <color theme="1"/>
        <rFont val="Arial"/>
        <family val="2"/>
      </rPr>
      <t>c0d</t>
    </r>
  </si>
  <si>
    <r>
      <t>f</t>
    </r>
    <r>
      <rPr>
        <vertAlign val="subscript"/>
        <sz val="11"/>
        <color theme="1"/>
        <rFont val="Arial"/>
        <family val="2"/>
      </rPr>
      <t>t0d</t>
    </r>
  </si>
  <si>
    <r>
      <t>f</t>
    </r>
    <r>
      <rPr>
        <vertAlign val="subscript"/>
        <sz val="11"/>
        <color theme="1"/>
        <rFont val="Arial"/>
        <family val="2"/>
      </rPr>
      <t>md</t>
    </r>
  </si>
  <si>
    <t>Nachweis Druckspannspannung</t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</si>
  <si>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t,o,t=0</t>
    </r>
  </si>
  <si>
    <t>Nachweis Zugspannspannung</t>
  </si>
  <si>
    <t>4.1.2 Zeitpunkt t=3..7</t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</si>
  <si>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t,o,t=3..7</t>
    </r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</si>
  <si>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t,u,t=3..7</t>
    </r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</si>
  <si>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c,o,t=3..7</t>
    </r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</si>
  <si>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c,u,t=3..7</t>
    </r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</si>
  <si>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t,o,t=∞</t>
    </r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</si>
  <si>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t,u,t=∞</t>
    </r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</si>
  <si>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c,o,t=∞</t>
    </r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</si>
  <si>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c,u,t=∞</t>
    </r>
  </si>
  <si>
    <r>
      <t>V</t>
    </r>
    <r>
      <rPr>
        <vertAlign val="subscript"/>
        <sz val="11"/>
        <color theme="1"/>
        <rFont val="Arial"/>
        <family val="2"/>
      </rPr>
      <t>t,d</t>
    </r>
  </si>
  <si>
    <t>Nachweis der Schubspannung</t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</si>
  <si>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t,</t>
    </r>
    <r>
      <rPr>
        <b/>
        <vertAlign val="subscript"/>
        <sz val="11"/>
        <color theme="1"/>
        <rFont val="Calibri"/>
        <family val="2"/>
      </rPr>
      <t>τ</t>
    </r>
    <r>
      <rPr>
        <b/>
        <vertAlign val="subscript"/>
        <sz val="11"/>
        <color theme="1"/>
        <rFont val="Arial"/>
        <family val="2"/>
      </rPr>
      <t>,t=3..7</t>
    </r>
  </si>
  <si>
    <t>Rissbeiwert</t>
  </si>
  <si>
    <r>
      <t>k</t>
    </r>
    <r>
      <rPr>
        <vertAlign val="subscript"/>
        <sz val="11"/>
        <color theme="1"/>
        <rFont val="Arial"/>
        <family val="2"/>
      </rPr>
      <t>cr</t>
    </r>
  </si>
  <si>
    <t>Schubfestigkeit</t>
  </si>
  <si>
    <r>
      <t>f</t>
    </r>
    <r>
      <rPr>
        <vertAlign val="subscript"/>
        <sz val="11"/>
        <color theme="1"/>
        <rFont val="Arial"/>
        <family val="2"/>
      </rPr>
      <t>vk</t>
    </r>
  </si>
  <si>
    <r>
      <t>f</t>
    </r>
    <r>
      <rPr>
        <vertAlign val="subscript"/>
        <sz val="11"/>
        <color theme="1"/>
        <rFont val="Arial"/>
        <family val="2"/>
      </rPr>
      <t>vd</t>
    </r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</si>
  <si>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t,</t>
    </r>
    <r>
      <rPr>
        <b/>
        <vertAlign val="subscript"/>
        <sz val="11"/>
        <color theme="1"/>
        <rFont val="Calibri"/>
        <family val="2"/>
      </rPr>
      <t>τ</t>
    </r>
    <r>
      <rPr>
        <b/>
        <vertAlign val="subscript"/>
        <sz val="11"/>
        <color theme="1"/>
        <rFont val="Arial"/>
        <family val="2"/>
      </rPr>
      <t>,t=∞</t>
    </r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</si>
  <si>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t,</t>
    </r>
    <r>
      <rPr>
        <b/>
        <vertAlign val="subscript"/>
        <sz val="11"/>
        <color theme="1"/>
        <rFont val="Calibri"/>
        <family val="2"/>
      </rPr>
      <t>τ</t>
    </r>
    <r>
      <rPr>
        <b/>
        <vertAlign val="subscript"/>
        <sz val="11"/>
        <color theme="1"/>
        <rFont val="Arial"/>
        <family val="2"/>
      </rPr>
      <t>,t=0</t>
    </r>
  </si>
  <si>
    <t>Scherfestigkeit</t>
  </si>
  <si>
    <t>Reduktionsfaktor Riss</t>
  </si>
  <si>
    <r>
      <t>f</t>
    </r>
    <r>
      <rPr>
        <vertAlign val="subscript"/>
        <sz val="11"/>
        <color theme="1"/>
        <rFont val="Arial"/>
        <family val="2"/>
      </rPr>
      <t>cvd</t>
    </r>
  </si>
  <si>
    <t>Kervenabstand</t>
  </si>
  <si>
    <r>
      <t>a</t>
    </r>
    <r>
      <rPr>
        <vertAlign val="subscript"/>
        <sz val="11"/>
        <color theme="1"/>
        <rFont val="Arial"/>
        <family val="2"/>
      </rPr>
      <t>0</t>
    </r>
  </si>
  <si>
    <t>θ</t>
  </si>
  <si>
    <t>ν</t>
  </si>
  <si>
    <t>Achsabstände sind nicht gleich den abständen zwischen den Kerven</t>
  </si>
  <si>
    <r>
      <t>F</t>
    </r>
    <r>
      <rPr>
        <vertAlign val="subscript"/>
        <sz val="11"/>
        <color theme="1"/>
        <rFont val="Arial"/>
        <family val="2"/>
      </rPr>
      <t>Rd,1</t>
    </r>
  </si>
  <si>
    <r>
      <t>F</t>
    </r>
    <r>
      <rPr>
        <vertAlign val="subscript"/>
        <sz val="11"/>
        <color theme="1"/>
        <rFont val="Arial"/>
        <family val="2"/>
      </rPr>
      <t>Rd,2</t>
    </r>
  </si>
  <si>
    <r>
      <t>F</t>
    </r>
    <r>
      <rPr>
        <vertAlign val="subscript"/>
        <sz val="11"/>
        <color theme="1"/>
        <rFont val="Arial"/>
        <family val="2"/>
      </rPr>
      <t>Rd,3</t>
    </r>
  </si>
  <si>
    <r>
      <t>F</t>
    </r>
    <r>
      <rPr>
        <vertAlign val="subscript"/>
        <sz val="11"/>
        <color theme="1"/>
        <rFont val="Arial"/>
        <family val="2"/>
      </rPr>
      <t>Rd,4</t>
    </r>
  </si>
  <si>
    <t>Scherversagen Beton</t>
  </si>
  <si>
    <t>Druckversagen Beton</t>
  </si>
  <si>
    <t>Scherversagen Holz</t>
  </si>
  <si>
    <t>Druckversagen Holz</t>
  </si>
  <si>
    <r>
      <t>F</t>
    </r>
    <r>
      <rPr>
        <vertAlign val="subscript"/>
        <sz val="11"/>
        <color theme="1"/>
        <rFont val="Arial"/>
        <family val="2"/>
      </rPr>
      <t>Rd</t>
    </r>
  </si>
  <si>
    <t>tanθ</t>
  </si>
  <si>
    <r>
      <t>F</t>
    </r>
    <r>
      <rPr>
        <vertAlign val="subscript"/>
        <sz val="11"/>
        <color theme="1"/>
        <rFont val="Arial"/>
        <family val="2"/>
      </rPr>
      <t>vk</t>
    </r>
  </si>
  <si>
    <t>Scherkraft</t>
  </si>
  <si>
    <r>
      <t>F</t>
    </r>
    <r>
      <rPr>
        <vertAlign val="subscript"/>
        <sz val="11"/>
        <color theme="1"/>
        <rFont val="Arial"/>
        <family val="2"/>
      </rPr>
      <t>v,Ed</t>
    </r>
  </si>
  <si>
    <t>Nachweis Verbindungsmittel</t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</si>
  <si>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VM,t=∞</t>
    </r>
  </si>
  <si>
    <t>Nachweis Druckspannung</t>
  </si>
  <si>
    <t>Nachweis Zugspannung</t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</si>
  <si>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VM,t=3..7</t>
    </r>
  </si>
  <si>
    <r>
      <rPr>
        <b/>
        <sz val="11"/>
        <color theme="1"/>
        <rFont val="Calibri"/>
        <family val="2"/>
      </rPr>
      <t>μ</t>
    </r>
    <r>
      <rPr>
        <b/>
        <vertAlign val="subscript"/>
        <sz val="11"/>
        <color theme="1"/>
        <rFont val="Arial"/>
        <family val="2"/>
      </rPr>
      <t>VM,t=0</t>
    </r>
  </si>
  <si>
    <r>
      <t>4.1.2 Zeitpunkt t=</t>
    </r>
    <r>
      <rPr>
        <b/>
        <u/>
        <sz val="11"/>
        <color theme="1"/>
        <rFont val="Calibri"/>
        <family val="2"/>
      </rPr>
      <t>∞</t>
    </r>
  </si>
  <si>
    <t>i) Holz</t>
  </si>
  <si>
    <t>ii) Beton</t>
  </si>
  <si>
    <t>iii) Verbindungsmittel</t>
  </si>
  <si>
    <r>
      <rPr>
        <sz val="11"/>
        <color theme="1"/>
        <rFont val="Arial"/>
        <family val="2"/>
      </rPr>
      <t>h</t>
    </r>
    <r>
      <rPr>
        <vertAlign val="subscript"/>
        <sz val="11"/>
        <color theme="1"/>
        <rFont val="Arial"/>
        <family val="2"/>
      </rPr>
      <t>c,eff</t>
    </r>
  </si>
  <si>
    <r>
      <t>f</t>
    </r>
    <r>
      <rPr>
        <vertAlign val="subscript"/>
        <sz val="11"/>
        <color theme="1"/>
        <rFont val="Arial"/>
        <family val="2"/>
      </rPr>
      <t>ctd</t>
    </r>
  </si>
  <si>
    <r>
      <t>f</t>
    </r>
    <r>
      <rPr>
        <vertAlign val="subscript"/>
        <sz val="11"/>
        <color theme="1"/>
        <rFont val="Arial"/>
        <family val="2"/>
      </rPr>
      <t>cd</t>
    </r>
  </si>
  <si>
    <r>
      <t>f</t>
    </r>
    <r>
      <rPr>
        <vertAlign val="subscript"/>
        <sz val="11"/>
        <color theme="1"/>
        <rFont val="Arial"/>
        <family val="2"/>
      </rPr>
      <t>ctk</t>
    </r>
  </si>
  <si>
    <r>
      <rPr>
        <sz val="11"/>
        <color theme="1"/>
        <rFont val="Calibri"/>
        <family val="2"/>
      </rPr>
      <t>ƴ</t>
    </r>
    <r>
      <rPr>
        <vertAlign val="subscript"/>
        <sz val="11"/>
        <color theme="1"/>
        <rFont val="Calibri"/>
        <family val="2"/>
      </rPr>
      <t>Ks</t>
    </r>
  </si>
  <si>
    <r>
      <t>ƴ</t>
    </r>
    <r>
      <rPr>
        <vertAlign val="subscript"/>
        <sz val="11"/>
        <color theme="1"/>
        <rFont val="Calibri"/>
        <family val="2"/>
      </rPr>
      <t>Ku</t>
    </r>
  </si>
  <si>
    <t>Ermittlung der Verbundkriechbeiwerte über ƴ-Verfahren</t>
  </si>
  <si>
    <t>Lage des ideellen Schwerpunktes</t>
  </si>
  <si>
    <r>
      <t>z</t>
    </r>
    <r>
      <rPr>
        <vertAlign val="subscript"/>
        <sz val="11"/>
        <color theme="1"/>
        <rFont val="Calibri"/>
        <family val="2"/>
      </rPr>
      <t>Ks</t>
    </r>
  </si>
  <si>
    <r>
      <t>z</t>
    </r>
    <r>
      <rPr>
        <vertAlign val="subscript"/>
        <sz val="11"/>
        <color theme="1"/>
        <rFont val="Calibri"/>
        <family val="2"/>
      </rPr>
      <t>Ku</t>
    </r>
  </si>
  <si>
    <t>Effektivegesamtsteifigkeit</t>
  </si>
  <si>
    <r>
      <t>(EI)</t>
    </r>
    <r>
      <rPr>
        <vertAlign val="subscript"/>
        <sz val="11"/>
        <color theme="1"/>
        <rFont val="Calibri"/>
        <family val="2"/>
      </rPr>
      <t>eff,Ks</t>
    </r>
  </si>
  <si>
    <r>
      <t>(EI)</t>
    </r>
    <r>
      <rPr>
        <vertAlign val="subscript"/>
        <sz val="11"/>
        <color theme="1"/>
        <rFont val="Calibri"/>
        <family val="2"/>
      </rPr>
      <t>eff,Ku</t>
    </r>
  </si>
  <si>
    <t>Diff</t>
  </si>
  <si>
    <t>&gt;=</t>
  </si>
  <si>
    <t xml:space="preserve">&gt;= </t>
  </si>
  <si>
    <t>&lt;=</t>
  </si>
  <si>
    <t>Nachweis Zug + Biegung oben</t>
  </si>
  <si>
    <t>Nachweis Zug + Biegung unten</t>
  </si>
  <si>
    <t>Sofistik:</t>
  </si>
  <si>
    <t>My</t>
  </si>
  <si>
    <t>Gruppe</t>
  </si>
  <si>
    <t>Vz</t>
  </si>
  <si>
    <t>Nx</t>
  </si>
  <si>
    <t>Vy</t>
  </si>
  <si>
    <t>Kriterium</t>
  </si>
  <si>
    <t>Tragfähigkeit Kerve:</t>
  </si>
  <si>
    <r>
      <rPr>
        <sz val="11"/>
        <color theme="1"/>
        <rFont val="Calibri"/>
        <family val="2"/>
      </rPr>
      <t>τ</t>
    </r>
    <r>
      <rPr>
        <vertAlign val="subscript"/>
        <sz val="11"/>
        <color theme="1"/>
        <rFont val="Arial"/>
        <family val="2"/>
      </rPr>
      <t>t,d</t>
    </r>
  </si>
  <si>
    <t>Ergebniss R:</t>
  </si>
  <si>
    <t>LF Schwinden</t>
  </si>
  <si>
    <t>1.3 Modifikationsbeiwerte</t>
  </si>
  <si>
    <t>1.4 Sonstige Beiwerte</t>
  </si>
  <si>
    <t>Nutzlast, Kat. A,B (quasi-ständig)</t>
  </si>
  <si>
    <r>
      <rPr>
        <sz val="11"/>
        <color theme="1"/>
        <rFont val="Calibri"/>
        <family val="2"/>
      </rPr>
      <t>Ψ</t>
    </r>
    <r>
      <rPr>
        <vertAlign val="subscript"/>
        <sz val="11"/>
        <color theme="1"/>
        <rFont val="Arial"/>
        <family val="2"/>
      </rPr>
      <t>Q,2</t>
    </r>
  </si>
  <si>
    <t>1.2 Kombinationsbeiwerte</t>
  </si>
  <si>
    <r>
      <t>ƴ</t>
    </r>
    <r>
      <rPr>
        <vertAlign val="subscript"/>
        <sz val="11"/>
        <color theme="1"/>
        <rFont val="Calibri"/>
        <family val="2"/>
      </rPr>
      <t>SH</t>
    </r>
  </si>
  <si>
    <t>-</t>
  </si>
  <si>
    <t>K_MOD</t>
  </si>
  <si>
    <r>
      <t>mit k</t>
    </r>
    <r>
      <rPr>
        <vertAlign val="subscript"/>
        <sz val="11"/>
        <color theme="1"/>
        <rFont val="Arial"/>
        <family val="2"/>
      </rPr>
      <t>mod,VM</t>
    </r>
    <r>
      <rPr>
        <sz val="11"/>
        <color theme="1"/>
        <rFont val="Arial"/>
        <family val="2"/>
      </rPr>
      <t xml:space="preserve"> abgemindert</t>
    </r>
  </si>
  <si>
    <t>t=0</t>
  </si>
  <si>
    <t>t=3..7</t>
  </si>
  <si>
    <t>t=00</t>
  </si>
  <si>
    <t>NW t oben</t>
  </si>
  <si>
    <t>NW t unten</t>
  </si>
  <si>
    <t>Querkraft t</t>
  </si>
  <si>
    <t>NW c oben</t>
  </si>
  <si>
    <t>NW VBM</t>
  </si>
  <si>
    <t>Zeitpunkt</t>
  </si>
  <si>
    <t>Abweichungen der Ergebnisse</t>
  </si>
  <si>
    <t>C30/37</t>
  </si>
  <si>
    <t>SG - Stabwerk'!H6*C8+C9*('SG - Stabwerk'!H15*(1-C13)+'SG - Stabwerk'!H16*C13)+0.6*'SG - Stabwerk'!H26*C10</t>
  </si>
  <si>
    <t>'SG - Stabwerk'!F7*C8+C9*('SG - Stabwerk'!F15*(1-C13)+'SG - Stabwerk'!F17*C13)+0.9*'SG - Stabwerk'!F27*C10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</si>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</sst>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"/>
    <numFmt numFmtId="166" formatCode="0.000"/>
    <numFmt numFmtId="167" formatCode="0.000000"/>
    <numFmt numFmtId="168" formatCode="0.0000000"/>
    <numFmt numFmtId="169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2"/>
      <color theme="1"/>
      <name val="Arial Black"/>
      <family val="2"/>
    </font>
    <font>
      <u/>
      <sz val="11"/>
      <color theme="1"/>
      <name val="Arial"/>
      <family val="2"/>
    </font>
    <font>
      <sz val="8"/>
      <color theme="1"/>
      <name val="Arial"/>
      <family val="2"/>
    </font>
    <font>
      <vertAlign val="subscript"/>
      <sz val="11"/>
      <color theme="1"/>
      <name val="Arial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Arial"/>
      <family val="2"/>
    </font>
    <font>
      <b/>
      <vertAlign val="subscript"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1"/>
      <color theme="1"/>
      <name val="Calibri"/>
      <family val="2"/>
    </font>
    <font>
      <i/>
      <u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2" fontId="2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4" fillId="0" borderId="1" xfId="0" applyFont="1" applyBorder="1"/>
    <xf numFmtId="166" fontId="2" fillId="0" borderId="0" xfId="0" applyNumberFormat="1" applyFont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0" xfId="0" applyFont="1"/>
    <xf numFmtId="0" fontId="9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4" fillId="0" borderId="0" xfId="0" applyFont="1"/>
    <xf numFmtId="0" fontId="16" fillId="0" borderId="0" xfId="0" applyFont="1"/>
    <xf numFmtId="0" fontId="17" fillId="0" borderId="0" xfId="0" applyFont="1"/>
    <xf numFmtId="0" fontId="2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166" fontId="2" fillId="0" borderId="5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2" fillId="0" borderId="13" xfId="0" applyNumberFormat="1" applyFont="1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1" xfId="0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right"/>
    </xf>
    <xf numFmtId="10" fontId="2" fillId="0" borderId="0" xfId="1" applyNumberFormat="1" applyFont="1"/>
    <xf numFmtId="0" fontId="2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6" fontId="2" fillId="2" borderId="13" xfId="0" applyNumberFormat="1" applyFont="1" applyFill="1" applyBorder="1"/>
    <xf numFmtId="0" fontId="2" fillId="0" borderId="0" xfId="0" quotePrefix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</xdr:colOff>
      <xdr:row>92</xdr:row>
      <xdr:rowOff>95250</xdr:rowOff>
    </xdr:from>
    <xdr:to>
      <xdr:col>15</xdr:col>
      <xdr:colOff>551549</xdr:colOff>
      <xdr:row>98</xdr:row>
      <xdr:rowOff>22253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432CD08-FECD-4DBA-91E3-2B1114A74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0595" y="16925925"/>
          <a:ext cx="5279759" cy="1161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8A6E-94B9-48BA-B47D-18FE5D6B8B67}">
  <dimension ref="A1:L248"/>
  <sheetViews>
    <sheetView tabSelected="1" topLeftCell="A183" zoomScaleNormal="100" workbookViewId="0">
      <selection activeCell="C190" sqref="C190"/>
    </sheetView>
  </sheetViews>
  <sheetFormatPr baseColWidth="10" defaultRowHeight="13.8" x14ac:dyDescent="0.25"/>
  <cols>
    <col min="1" max="1" width="32.88671875" style="1" customWidth="1"/>
    <col min="2" max="2" width="7.6640625" style="44" customWidth="1"/>
    <col min="3" max="3" width="12.109375" style="6" bestFit="1" customWidth="1"/>
    <col min="4" max="4" width="11.5546875" style="1"/>
    <col min="5" max="5" width="15.44140625" style="1" bestFit="1" customWidth="1"/>
    <col min="6" max="6" width="13" style="1" customWidth="1"/>
    <col min="7" max="16384" width="11.5546875" style="1"/>
  </cols>
  <sheetData>
    <row r="1" spans="1:12" ht="18.600000000000001" x14ac:dyDescent="0.45">
      <c r="A1" s="8" t="s">
        <v>79</v>
      </c>
      <c r="B1" s="45"/>
      <c r="C1" s="50"/>
      <c r="D1" s="7"/>
      <c r="E1" s="7"/>
      <c r="F1" s="7"/>
    </row>
    <row r="2" spans="1:12" ht="17.399999999999999" x14ac:dyDescent="0.45">
      <c r="A2" s="2" t="s">
        <v>80</v>
      </c>
      <c r="G2" s="63" t="s">
        <v>268</v>
      </c>
      <c r="H2" s="63"/>
      <c r="I2" s="63"/>
      <c r="J2" s="63"/>
      <c r="K2" s="63"/>
      <c r="L2" s="63"/>
    </row>
    <row r="3" spans="1:12" ht="15.6" x14ac:dyDescent="0.35">
      <c r="A3" s="1" t="s">
        <v>65</v>
      </c>
      <c r="B3" s="46" t="s">
        <v>61</v>
      </c>
      <c r="C3" s="6">
        <v>1.3</v>
      </c>
      <c r="G3" s="1" t="s">
        <v>267</v>
      </c>
      <c r="H3" s="1" t="s">
        <v>262</v>
      </c>
      <c r="I3" s="1" t="s">
        <v>263</v>
      </c>
      <c r="J3" s="1" t="s">
        <v>264</v>
      </c>
      <c r="K3" s="1" t="s">
        <v>265</v>
      </c>
      <c r="L3" s="1" t="s">
        <v>266</v>
      </c>
    </row>
    <row r="4" spans="1:12" ht="15.6" x14ac:dyDescent="0.35">
      <c r="A4" s="1" t="s">
        <v>72</v>
      </c>
      <c r="B4" s="46" t="s">
        <v>62</v>
      </c>
      <c r="C4" s="6">
        <v>1.5</v>
      </c>
      <c r="G4" s="1" t="s">
        <v>259</v>
      </c>
      <c r="H4" s="62">
        <v>2.3365119572938298E-2</v>
      </c>
      <c r="I4" s="62">
        <v>2.3365119572938298E-2</v>
      </c>
      <c r="J4" s="62">
        <v>3.378563741829721E-2</v>
      </c>
      <c r="K4" s="62">
        <v>8.2699112604331937E-3</v>
      </c>
      <c r="L4" s="62">
        <v>5.5937732386284189E-3</v>
      </c>
    </row>
    <row r="5" spans="1:12" ht="15.6" x14ac:dyDescent="0.35">
      <c r="A5" s="1" t="s">
        <v>73</v>
      </c>
      <c r="B5" s="46" t="s">
        <v>63</v>
      </c>
      <c r="C5" s="51">
        <v>1</v>
      </c>
      <c r="G5" s="1" t="s">
        <v>260</v>
      </c>
      <c r="H5" s="62">
        <v>2.4536688514746552E-2</v>
      </c>
      <c r="I5" s="62">
        <v>7.8750778789957732E-2</v>
      </c>
      <c r="J5" s="62">
        <v>3.3752648177878264E-2</v>
      </c>
      <c r="K5" s="62">
        <v>1.6459670848761876E-2</v>
      </c>
      <c r="L5" s="62">
        <v>5.5929685568641974E-3</v>
      </c>
    </row>
    <row r="6" spans="1:12" ht="15.6" x14ac:dyDescent="0.35">
      <c r="A6" s="1" t="s">
        <v>66</v>
      </c>
      <c r="B6" s="46" t="s">
        <v>64</v>
      </c>
      <c r="C6" s="6">
        <v>1.25</v>
      </c>
      <c r="G6" s="1" t="s">
        <v>261</v>
      </c>
      <c r="H6" s="62">
        <v>2.3353345449413365E-2</v>
      </c>
      <c r="I6" s="62">
        <v>7.6164885730029774E-2</v>
      </c>
      <c r="J6" s="62">
        <v>3.375622542026302E-2</v>
      </c>
      <c r="K6" s="62">
        <v>1.6284223135392573E-2</v>
      </c>
      <c r="L6" s="62">
        <v>5.606824236519703E-3</v>
      </c>
    </row>
    <row r="8" spans="1:12" ht="15.6" x14ac:dyDescent="0.35">
      <c r="A8" s="1" t="s">
        <v>144</v>
      </c>
      <c r="B8" s="46" t="s">
        <v>146</v>
      </c>
      <c r="C8" s="6">
        <v>1.35</v>
      </c>
    </row>
    <row r="9" spans="1:12" ht="15.6" x14ac:dyDescent="0.35">
      <c r="A9" s="1" t="s">
        <v>145</v>
      </c>
      <c r="B9" s="46" t="s">
        <v>147</v>
      </c>
      <c r="C9" s="6">
        <v>1.5</v>
      </c>
    </row>
    <row r="10" spans="1:12" ht="15.6" x14ac:dyDescent="0.35">
      <c r="B10" s="46" t="s">
        <v>255</v>
      </c>
      <c r="C10" s="6">
        <v>1</v>
      </c>
    </row>
    <row r="11" spans="1:12" ht="14.4" x14ac:dyDescent="0.3">
      <c r="B11" s="46"/>
    </row>
    <row r="12" spans="1:12" ht="17.399999999999999" x14ac:dyDescent="0.45">
      <c r="A12" s="2" t="s">
        <v>254</v>
      </c>
    </row>
    <row r="13" spans="1:12" ht="16.2" x14ac:dyDescent="0.35">
      <c r="A13" s="1" t="s">
        <v>252</v>
      </c>
      <c r="B13" s="44" t="s">
        <v>253</v>
      </c>
      <c r="C13" s="6">
        <v>0.3</v>
      </c>
    </row>
    <row r="17" spans="1:3" ht="17.399999999999999" x14ac:dyDescent="0.45">
      <c r="A17" s="2" t="s">
        <v>250</v>
      </c>
    </row>
    <row r="18" spans="1:3" x14ac:dyDescent="0.25">
      <c r="A18" s="1" t="s">
        <v>56</v>
      </c>
      <c r="B18" s="44" t="s">
        <v>57</v>
      </c>
      <c r="C18" s="6">
        <v>1</v>
      </c>
    </row>
    <row r="19" spans="1:3" x14ac:dyDescent="0.25">
      <c r="A19" s="1" t="s">
        <v>58</v>
      </c>
      <c r="B19" s="44" t="s">
        <v>59</v>
      </c>
      <c r="C19" s="6" t="s">
        <v>60</v>
      </c>
    </row>
    <row r="20" spans="1:3" ht="16.2" x14ac:dyDescent="0.35">
      <c r="A20" s="1" t="s">
        <v>65</v>
      </c>
      <c r="B20" s="44" t="s">
        <v>70</v>
      </c>
      <c r="C20" s="52">
        <v>0.8</v>
      </c>
    </row>
    <row r="21" spans="1:3" ht="16.2" x14ac:dyDescent="0.35">
      <c r="A21" s="1" t="s">
        <v>66</v>
      </c>
      <c r="B21" s="44" t="s">
        <v>71</v>
      </c>
      <c r="C21" s="52">
        <f>SQRT(C20*C28)</f>
        <v>0.82462112512353214</v>
      </c>
    </row>
    <row r="23" spans="1:3" ht="17.399999999999999" x14ac:dyDescent="0.45">
      <c r="A23" s="2" t="s">
        <v>251</v>
      </c>
    </row>
    <row r="24" spans="1:3" x14ac:dyDescent="0.25">
      <c r="A24" s="1" t="s">
        <v>76</v>
      </c>
    </row>
    <row r="25" spans="1:3" x14ac:dyDescent="0.25">
      <c r="A25" s="1" t="s">
        <v>77</v>
      </c>
    </row>
    <row r="28" spans="1:3" x14ac:dyDescent="0.25">
      <c r="A28" s="1" t="s">
        <v>74</v>
      </c>
      <c r="C28" s="6">
        <v>0.85</v>
      </c>
    </row>
    <row r="29" spans="1:3" x14ac:dyDescent="0.25">
      <c r="A29" s="1" t="s">
        <v>75</v>
      </c>
    </row>
    <row r="30" spans="1:3" x14ac:dyDescent="0.25">
      <c r="A30" s="1" t="s">
        <v>78</v>
      </c>
    </row>
    <row r="33" spans="1:6" ht="18.600000000000001" x14ac:dyDescent="0.45">
      <c r="A33" s="8" t="s">
        <v>81</v>
      </c>
      <c r="B33" s="45"/>
      <c r="C33" s="50"/>
      <c r="D33" s="7"/>
      <c r="E33" s="7"/>
      <c r="F33" s="7"/>
    </row>
    <row r="34" spans="1:6" ht="17.399999999999999" x14ac:dyDescent="0.45">
      <c r="A34" s="2" t="s">
        <v>82</v>
      </c>
    </row>
    <row r="35" spans="1:6" x14ac:dyDescent="0.25">
      <c r="A35" s="1" t="s">
        <v>8</v>
      </c>
      <c r="B35" s="44" t="s">
        <v>9</v>
      </c>
    </row>
    <row r="36" spans="1:6" ht="16.2" x14ac:dyDescent="0.35">
      <c r="A36" s="1" t="s">
        <v>15</v>
      </c>
      <c r="B36" s="44" t="s">
        <v>24</v>
      </c>
      <c r="C36" s="6">
        <v>24</v>
      </c>
      <c r="D36" s="1" t="s">
        <v>14</v>
      </c>
    </row>
    <row r="37" spans="1:6" ht="16.2" x14ac:dyDescent="0.35">
      <c r="B37" s="44" t="s">
        <v>166</v>
      </c>
      <c r="C37" s="52">
        <f>C36*C20/C3</f>
        <v>14.76923076923077</v>
      </c>
      <c r="D37" s="1" t="s">
        <v>14</v>
      </c>
    </row>
    <row r="38" spans="1:6" ht="16.2" x14ac:dyDescent="0.35">
      <c r="A38" s="1" t="s">
        <v>17</v>
      </c>
      <c r="B38" s="44" t="s">
        <v>22</v>
      </c>
      <c r="C38" s="6">
        <v>24</v>
      </c>
      <c r="D38" s="1" t="s">
        <v>14</v>
      </c>
    </row>
    <row r="39" spans="1:6" ht="16.2" x14ac:dyDescent="0.35">
      <c r="B39" s="44" t="s">
        <v>164</v>
      </c>
      <c r="C39" s="52">
        <f>C38*C20/C3</f>
        <v>14.76923076923077</v>
      </c>
      <c r="D39" s="1" t="s">
        <v>14</v>
      </c>
    </row>
    <row r="40" spans="1:6" ht="16.2" x14ac:dyDescent="0.35">
      <c r="A40" s="1" t="s">
        <v>16</v>
      </c>
      <c r="B40" s="44" t="s">
        <v>23</v>
      </c>
      <c r="C40" s="6">
        <v>19.2</v>
      </c>
      <c r="D40" s="1" t="s">
        <v>14</v>
      </c>
    </row>
    <row r="41" spans="1:6" ht="16.2" x14ac:dyDescent="0.35">
      <c r="B41" s="44" t="s">
        <v>165</v>
      </c>
      <c r="C41" s="52">
        <f>C40*C20/C3</f>
        <v>11.815384615384614</v>
      </c>
      <c r="D41" s="1" t="s">
        <v>14</v>
      </c>
    </row>
    <row r="42" spans="1:6" ht="16.2" x14ac:dyDescent="0.35">
      <c r="A42" s="1" t="s">
        <v>184</v>
      </c>
      <c r="B42" s="44" t="s">
        <v>185</v>
      </c>
      <c r="C42" s="52">
        <v>3.5</v>
      </c>
      <c r="D42" s="1" t="s">
        <v>14</v>
      </c>
    </row>
    <row r="43" spans="1:6" ht="16.2" x14ac:dyDescent="0.35">
      <c r="B43" s="44" t="s">
        <v>186</v>
      </c>
      <c r="C43" s="52">
        <f>C42*C20/C3</f>
        <v>2.1538461538461542</v>
      </c>
      <c r="D43" s="1" t="s">
        <v>14</v>
      </c>
    </row>
    <row r="44" spans="1:6" ht="16.2" x14ac:dyDescent="0.35">
      <c r="A44" s="1" t="s">
        <v>13</v>
      </c>
      <c r="B44" s="44" t="s">
        <v>21</v>
      </c>
      <c r="C44" s="6">
        <v>11500</v>
      </c>
      <c r="D44" s="1" t="s">
        <v>14</v>
      </c>
    </row>
    <row r="45" spans="1:6" ht="16.2" x14ac:dyDescent="0.35">
      <c r="B45" s="44" t="s">
        <v>83</v>
      </c>
      <c r="C45" s="52">
        <f>C44/C3</f>
        <v>8846.1538461538457</v>
      </c>
      <c r="D45" s="1" t="s">
        <v>14</v>
      </c>
    </row>
    <row r="46" spans="1:6" ht="16.2" x14ac:dyDescent="0.35">
      <c r="A46" s="1" t="s">
        <v>19</v>
      </c>
      <c r="B46" s="44" t="s">
        <v>25</v>
      </c>
      <c r="C46" s="6">
        <v>385</v>
      </c>
      <c r="D46" s="1" t="s">
        <v>20</v>
      </c>
    </row>
    <row r="47" spans="1:6" ht="16.2" x14ac:dyDescent="0.35">
      <c r="B47" s="44" t="s">
        <v>26</v>
      </c>
      <c r="C47" s="6">
        <v>420</v>
      </c>
      <c r="D47" s="1" t="s">
        <v>20</v>
      </c>
    </row>
    <row r="48" spans="1:6" ht="16.2" x14ac:dyDescent="0.35">
      <c r="A48" s="1" t="s">
        <v>161</v>
      </c>
      <c r="B48" s="44" t="s">
        <v>160</v>
      </c>
      <c r="C48" s="52">
        <f>MIN((0.6/C53)^0.1,1.1)</f>
        <v>1.0648786680336062</v>
      </c>
    </row>
    <row r="49" spans="1:4" ht="16.2" x14ac:dyDescent="0.35">
      <c r="A49" s="1" t="s">
        <v>162</v>
      </c>
      <c r="B49" s="44" t="s">
        <v>163</v>
      </c>
      <c r="C49" s="6">
        <v>0.7</v>
      </c>
    </row>
    <row r="50" spans="1:4" ht="16.2" x14ac:dyDescent="0.35">
      <c r="A50" s="1" t="s">
        <v>182</v>
      </c>
      <c r="B50" s="44" t="s">
        <v>183</v>
      </c>
      <c r="C50" s="53">
        <f>2.5/C42</f>
        <v>0.7142857142857143</v>
      </c>
    </row>
    <row r="53" spans="1:4" ht="16.2" x14ac:dyDescent="0.35">
      <c r="A53" s="1" t="s">
        <v>30</v>
      </c>
      <c r="B53" s="44" t="s">
        <v>32</v>
      </c>
      <c r="C53" s="6">
        <v>0.32</v>
      </c>
      <c r="D53" s="1" t="s">
        <v>38</v>
      </c>
    </row>
    <row r="54" spans="1:4" ht="16.2" x14ac:dyDescent="0.35">
      <c r="A54" s="1" t="s">
        <v>31</v>
      </c>
      <c r="B54" s="44" t="s">
        <v>33</v>
      </c>
      <c r="C54" s="6">
        <v>0.24</v>
      </c>
      <c r="D54" s="1" t="s">
        <v>38</v>
      </c>
    </row>
    <row r="55" spans="1:4" ht="16.2" x14ac:dyDescent="0.35">
      <c r="A55" s="1" t="s">
        <v>121</v>
      </c>
      <c r="B55" s="44" t="s">
        <v>123</v>
      </c>
      <c r="C55" s="6">
        <v>1.35</v>
      </c>
      <c r="D55" s="1" t="s">
        <v>38</v>
      </c>
    </row>
    <row r="56" spans="1:4" ht="16.2" x14ac:dyDescent="0.35">
      <c r="A56" s="1" t="s">
        <v>122</v>
      </c>
      <c r="B56" s="44" t="s">
        <v>124</v>
      </c>
      <c r="C56" s="6">
        <v>8.1</v>
      </c>
      <c r="D56" s="1" t="s">
        <v>38</v>
      </c>
    </row>
    <row r="57" spans="1:4" x14ac:dyDescent="0.25">
      <c r="A57" s="5" t="s">
        <v>18</v>
      </c>
    </row>
    <row r="59" spans="1:4" ht="17.399999999999999" x14ac:dyDescent="0.45">
      <c r="A59" s="2" t="s">
        <v>0</v>
      </c>
    </row>
    <row r="60" spans="1:4" x14ac:dyDescent="0.25">
      <c r="A60" s="1" t="s">
        <v>10</v>
      </c>
      <c r="C60" s="6" t="s">
        <v>269</v>
      </c>
    </row>
    <row r="61" spans="1:4" ht="16.2" x14ac:dyDescent="0.35">
      <c r="A61" s="1" t="s">
        <v>11</v>
      </c>
      <c r="B61" s="44" t="s">
        <v>27</v>
      </c>
      <c r="C61" s="6">
        <v>30</v>
      </c>
      <c r="D61" s="1" t="s">
        <v>14</v>
      </c>
    </row>
    <row r="62" spans="1:4" ht="16.2" x14ac:dyDescent="0.35">
      <c r="B62" s="44" t="s">
        <v>222</v>
      </c>
      <c r="C62" s="51">
        <f>C61*C28/C4</f>
        <v>17</v>
      </c>
      <c r="D62" s="1" t="s">
        <v>14</v>
      </c>
    </row>
    <row r="63" spans="1:4" ht="16.2" x14ac:dyDescent="0.35">
      <c r="A63" s="1" t="s">
        <v>12</v>
      </c>
      <c r="B63" s="44" t="s">
        <v>28</v>
      </c>
      <c r="C63" s="52">
        <f>C61^(2/3)*0.3</f>
        <v>2.896468153816889</v>
      </c>
      <c r="D63" s="1" t="s">
        <v>14</v>
      </c>
    </row>
    <row r="64" spans="1:4" ht="16.2" x14ac:dyDescent="0.35">
      <c r="B64" s="44" t="s">
        <v>223</v>
      </c>
      <c r="C64" s="52">
        <f>0.7*C63</f>
        <v>2.0275277076718221</v>
      </c>
      <c r="D64" s="1" t="s">
        <v>14</v>
      </c>
    </row>
    <row r="65" spans="1:5" ht="16.2" x14ac:dyDescent="0.35">
      <c r="B65" s="44" t="s">
        <v>221</v>
      </c>
      <c r="C65" s="52">
        <f>C64*C28/C4</f>
        <v>1.1489323676806993</v>
      </c>
      <c r="D65" s="1" t="s">
        <v>14</v>
      </c>
    </row>
    <row r="66" spans="1:5" ht="16.2" x14ac:dyDescent="0.35">
      <c r="A66" s="1" t="s">
        <v>189</v>
      </c>
      <c r="B66" s="44" t="s">
        <v>191</v>
      </c>
      <c r="C66" s="52">
        <f>C74*C62/(_xlfn.COT(C76)+TAN(C76))</f>
        <v>1.9862592202318237</v>
      </c>
      <c r="D66" s="1" t="s">
        <v>14</v>
      </c>
    </row>
    <row r="67" spans="1:5" x14ac:dyDescent="0.25">
      <c r="C67" s="52"/>
    </row>
    <row r="68" spans="1:5" ht="16.2" x14ac:dyDescent="0.35">
      <c r="A68" s="1" t="s">
        <v>13</v>
      </c>
      <c r="B68" s="44" t="s">
        <v>29</v>
      </c>
      <c r="C68" s="54">
        <f>((22000*((C61+8)/10)^0.3))</f>
        <v>32836.568031330789</v>
      </c>
      <c r="D68" s="1" t="s">
        <v>14</v>
      </c>
    </row>
    <row r="69" spans="1:5" ht="16.2" x14ac:dyDescent="0.35">
      <c r="B69" s="44" t="s">
        <v>84</v>
      </c>
      <c r="C69" s="54">
        <f>C68/C4</f>
        <v>21891.045354220525</v>
      </c>
      <c r="D69" s="1" t="s">
        <v>14</v>
      </c>
    </row>
    <row r="70" spans="1:5" ht="16.2" x14ac:dyDescent="0.35">
      <c r="A70" s="1" t="s">
        <v>34</v>
      </c>
      <c r="B70" s="44" t="s">
        <v>36</v>
      </c>
      <c r="C70" s="52">
        <v>0.1</v>
      </c>
      <c r="D70" s="1" t="s">
        <v>38</v>
      </c>
    </row>
    <row r="71" spans="1:5" ht="16.2" x14ac:dyDescent="0.35">
      <c r="A71" s="1" t="s">
        <v>35</v>
      </c>
      <c r="B71" s="44" t="s">
        <v>37</v>
      </c>
      <c r="C71" s="53">
        <f>MIN(C54+2*(MIN(0.2*C55/2+0.1*1*C56,0.2*1*C56,(C55-C54)/2)),C55/2)</f>
        <v>0.67500000000000004</v>
      </c>
      <c r="D71" s="1" t="s">
        <v>38</v>
      </c>
    </row>
    <row r="72" spans="1:5" x14ac:dyDescent="0.25">
      <c r="C72" s="52"/>
    </row>
    <row r="73" spans="1:5" x14ac:dyDescent="0.25">
      <c r="C73" s="52"/>
    </row>
    <row r="74" spans="1:5" ht="14.4" x14ac:dyDescent="0.3">
      <c r="A74" s="1" t="s">
        <v>190</v>
      </c>
      <c r="B74" s="46" t="s">
        <v>195</v>
      </c>
      <c r="C74" s="52">
        <f>0.6*(1-C61/250)</f>
        <v>0.52800000000000002</v>
      </c>
    </row>
    <row r="75" spans="1:5" x14ac:dyDescent="0.25">
      <c r="C75" s="52"/>
    </row>
    <row r="76" spans="1:5" x14ac:dyDescent="0.25">
      <c r="B76" s="44" t="s">
        <v>194</v>
      </c>
      <c r="C76" s="52">
        <f>MAX(ATAN(0.5*(C70+C82)/(C84+C85)),ATAN(C82/C84))</f>
        <v>0.22923193327699537</v>
      </c>
    </row>
    <row r="77" spans="1:5" x14ac:dyDescent="0.25">
      <c r="B77" s="44" t="s">
        <v>206</v>
      </c>
      <c r="C77" s="52">
        <f>TAN(C76)</f>
        <v>0.23333333333333336</v>
      </c>
    </row>
    <row r="79" spans="1:5" ht="17.399999999999999" x14ac:dyDescent="0.45">
      <c r="A79" s="2" t="s">
        <v>1</v>
      </c>
    </row>
    <row r="80" spans="1:5" x14ac:dyDescent="0.25">
      <c r="A80" s="1" t="s">
        <v>39</v>
      </c>
      <c r="C80" s="6" t="s">
        <v>40</v>
      </c>
      <c r="E80" s="1" t="s">
        <v>245</v>
      </c>
    </row>
    <row r="81" spans="1:10" ht="16.2" x14ac:dyDescent="0.35">
      <c r="A81" s="1" t="s">
        <v>41</v>
      </c>
      <c r="B81" s="44" t="s">
        <v>51</v>
      </c>
      <c r="C81" s="6">
        <v>3</v>
      </c>
      <c r="D81" s="1" t="s">
        <v>46</v>
      </c>
      <c r="E81" s="1" t="s">
        <v>234</v>
      </c>
      <c r="F81" s="1">
        <v>2</v>
      </c>
      <c r="G81" s="1" t="s">
        <v>38</v>
      </c>
    </row>
    <row r="82" spans="1:10" ht="16.2" x14ac:dyDescent="0.35">
      <c r="A82" s="1" t="s">
        <v>42</v>
      </c>
      <c r="B82" s="44" t="s">
        <v>47</v>
      </c>
      <c r="C82" s="6">
        <v>3.5000000000000003E-2</v>
      </c>
      <c r="D82" s="1" t="s">
        <v>38</v>
      </c>
      <c r="E82" s="1" t="s">
        <v>234</v>
      </c>
      <c r="F82" s="1">
        <v>0.02</v>
      </c>
      <c r="G82" s="1" t="s">
        <v>38</v>
      </c>
    </row>
    <row r="83" spans="1:10" ht="16.2" x14ac:dyDescent="0.35">
      <c r="A83" s="1" t="s">
        <v>43</v>
      </c>
      <c r="B83" s="44" t="s">
        <v>48</v>
      </c>
      <c r="C83" s="6">
        <v>0.2</v>
      </c>
      <c r="D83" s="1" t="s">
        <v>38</v>
      </c>
      <c r="E83" s="1" t="s">
        <v>236</v>
      </c>
      <c r="F83" s="1">
        <f>C54</f>
        <v>0.24</v>
      </c>
      <c r="G83" s="1" t="s">
        <v>38</v>
      </c>
    </row>
    <row r="84" spans="1:10" ht="16.2" x14ac:dyDescent="0.35">
      <c r="A84" s="1" t="s">
        <v>44</v>
      </c>
      <c r="B84" s="44" t="s">
        <v>49</v>
      </c>
      <c r="C84" s="6">
        <v>0.15</v>
      </c>
      <c r="D84" s="1" t="s">
        <v>38</v>
      </c>
      <c r="E84" s="1" t="s">
        <v>234</v>
      </c>
      <c r="F84" s="1">
        <v>0.15</v>
      </c>
      <c r="G84" s="1" t="s">
        <v>38</v>
      </c>
    </row>
    <row r="85" spans="1:10" ht="16.2" x14ac:dyDescent="0.35">
      <c r="A85" s="1" t="s">
        <v>192</v>
      </c>
      <c r="B85" s="44" t="s">
        <v>50</v>
      </c>
      <c r="C85" s="6">
        <v>0.45</v>
      </c>
      <c r="D85" s="1" t="s">
        <v>38</v>
      </c>
      <c r="E85" s="1" t="s">
        <v>235</v>
      </c>
      <c r="F85" s="4">
        <f>MAX(0.15,12.5*C82)</f>
        <v>0.43750000000000006</v>
      </c>
      <c r="G85" s="1" t="s">
        <v>38</v>
      </c>
    </row>
    <row r="86" spans="1:10" ht="16.2" x14ac:dyDescent="0.35">
      <c r="A86" s="1" t="s">
        <v>45</v>
      </c>
      <c r="B86" s="44" t="s">
        <v>193</v>
      </c>
      <c r="C86" s="6">
        <v>0.45</v>
      </c>
      <c r="D86" s="1" t="s">
        <v>38</v>
      </c>
      <c r="E86" s="1" t="s">
        <v>234</v>
      </c>
      <c r="F86" s="4">
        <f>MAX(0.15,12.5*C82)</f>
        <v>0.43750000000000006</v>
      </c>
      <c r="G86" s="1" t="s">
        <v>38</v>
      </c>
    </row>
    <row r="87" spans="1:10" ht="16.2" x14ac:dyDescent="0.35">
      <c r="A87" s="1" t="s">
        <v>55</v>
      </c>
      <c r="B87" s="44" t="s">
        <v>52</v>
      </c>
      <c r="C87" s="6">
        <f>IF(C82=0.02,1000,IF(C82&gt;=0.03,1500,(1000+(C82-0.02)*500/0.01)))*C83</f>
        <v>300</v>
      </c>
      <c r="D87" s="1" t="s">
        <v>54</v>
      </c>
    </row>
    <row r="88" spans="1:10" ht="16.2" x14ac:dyDescent="0.35">
      <c r="B88" s="44" t="s">
        <v>53</v>
      </c>
      <c r="C88" s="6">
        <f>C87*2/3</f>
        <v>200</v>
      </c>
      <c r="D88" s="1" t="s">
        <v>54</v>
      </c>
    </row>
    <row r="89" spans="1:10" ht="16.2" x14ac:dyDescent="0.35">
      <c r="B89" s="44" t="s">
        <v>85</v>
      </c>
      <c r="C89" s="52">
        <f>C88/C3</f>
        <v>153.84615384615384</v>
      </c>
      <c r="D89" s="1" t="s">
        <v>54</v>
      </c>
    </row>
    <row r="90" spans="1:10" x14ac:dyDescent="0.25">
      <c r="C90" s="52"/>
    </row>
    <row r="91" spans="1:10" ht="16.2" x14ac:dyDescent="0.35">
      <c r="A91" s="3" t="s">
        <v>246</v>
      </c>
      <c r="B91" s="44" t="s">
        <v>205</v>
      </c>
      <c r="C91" s="52">
        <f>MIN(C92:C95)*C21</f>
        <v>49.137339389236686</v>
      </c>
      <c r="D91" s="1" t="s">
        <v>90</v>
      </c>
      <c r="E91" s="1" t="s">
        <v>258</v>
      </c>
    </row>
    <row r="92" spans="1:10" ht="16.2" x14ac:dyDescent="0.35">
      <c r="A92" s="1" t="s">
        <v>201</v>
      </c>
      <c r="B92" s="44" t="s">
        <v>197</v>
      </c>
      <c r="C92" s="51">
        <f>C83*C84*C66*1000</f>
        <v>59.587776606954712</v>
      </c>
      <c r="D92" s="1" t="s">
        <v>90</v>
      </c>
      <c r="J92" s="1" t="s">
        <v>196</v>
      </c>
    </row>
    <row r="93" spans="1:10" ht="16.2" x14ac:dyDescent="0.35">
      <c r="A93" s="1" t="s">
        <v>202</v>
      </c>
      <c r="B93" s="44" t="s">
        <v>198</v>
      </c>
      <c r="C93" s="51">
        <f>C62*C82*C83*1000</f>
        <v>119.00000000000003</v>
      </c>
      <c r="D93" s="1" t="s">
        <v>90</v>
      </c>
    </row>
    <row r="94" spans="1:10" ht="16.2" x14ac:dyDescent="0.35">
      <c r="A94" s="1" t="s">
        <v>203</v>
      </c>
      <c r="B94" s="44" t="s">
        <v>199</v>
      </c>
      <c r="C94" s="52">
        <f>C50*C43*C83*MIN(C86,C85,8*C82)*1000</f>
        <v>86.153846153846175</v>
      </c>
      <c r="D94" s="1" t="s">
        <v>90</v>
      </c>
    </row>
    <row r="95" spans="1:10" ht="16.2" x14ac:dyDescent="0.35">
      <c r="A95" s="1" t="s">
        <v>204</v>
      </c>
      <c r="B95" s="44" t="s">
        <v>200</v>
      </c>
      <c r="C95" s="52">
        <f>C83*C82*C39*1000</f>
        <v>103.38461538461542</v>
      </c>
      <c r="D95" s="1" t="s">
        <v>90</v>
      </c>
    </row>
    <row r="96" spans="1:10" x14ac:dyDescent="0.25">
      <c r="C96" s="52"/>
    </row>
    <row r="97" spans="1:6" ht="17.399999999999999" x14ac:dyDescent="0.45">
      <c r="A97" s="2" t="s">
        <v>120</v>
      </c>
    </row>
    <row r="98" spans="1:6" ht="16.2" x14ac:dyDescent="0.35">
      <c r="A98" s="3" t="s">
        <v>72</v>
      </c>
      <c r="B98" s="44" t="s">
        <v>129</v>
      </c>
      <c r="C98" s="6">
        <f>C70*C71</f>
        <v>6.7500000000000004E-2</v>
      </c>
      <c r="D98" s="1" t="s">
        <v>127</v>
      </c>
    </row>
    <row r="99" spans="1:6" ht="17.399999999999999" x14ac:dyDescent="0.35">
      <c r="B99" s="47" t="s">
        <v>130</v>
      </c>
      <c r="C99" s="55">
        <f>C71*C70^3/12</f>
        <v>5.6250000000000019E-5</v>
      </c>
      <c r="D99" s="1" t="s">
        <v>125</v>
      </c>
    </row>
    <row r="100" spans="1:6" ht="16.2" x14ac:dyDescent="0.35">
      <c r="B100" s="47" t="s">
        <v>220</v>
      </c>
      <c r="C100" s="52">
        <v>0.08</v>
      </c>
      <c r="D100" s="1" t="s">
        <v>38</v>
      </c>
    </row>
    <row r="101" spans="1:6" ht="16.2" x14ac:dyDescent="0.35">
      <c r="A101" s="1" t="s">
        <v>132</v>
      </c>
      <c r="B101" s="44" t="s">
        <v>133</v>
      </c>
      <c r="C101" s="52">
        <f>C70-C100</f>
        <v>2.0000000000000004E-2</v>
      </c>
      <c r="D101" s="1" t="s">
        <v>38</v>
      </c>
    </row>
    <row r="102" spans="1:6" ht="16.2" x14ac:dyDescent="0.35">
      <c r="A102" s="1" t="s">
        <v>134</v>
      </c>
      <c r="B102" s="44" t="s">
        <v>136</v>
      </c>
      <c r="C102" s="56">
        <f>C100*C71</f>
        <v>5.4000000000000006E-2</v>
      </c>
      <c r="D102" s="1" t="s">
        <v>127</v>
      </c>
    </row>
    <row r="103" spans="1:6" ht="17.399999999999999" x14ac:dyDescent="0.35">
      <c r="A103" s="1" t="s">
        <v>135</v>
      </c>
      <c r="B103" s="44" t="s">
        <v>137</v>
      </c>
      <c r="C103" s="57">
        <f>C71*(C100)^3/12</f>
        <v>2.8800000000000009E-5</v>
      </c>
      <c r="D103" s="1" t="s">
        <v>125</v>
      </c>
    </row>
    <row r="104" spans="1:6" ht="16.2" x14ac:dyDescent="0.35">
      <c r="A104" s="1" t="s">
        <v>138</v>
      </c>
      <c r="B104" s="44" t="s">
        <v>141</v>
      </c>
      <c r="C104" s="6">
        <f>C71*(C100)^2/6</f>
        <v>7.2000000000000015E-4</v>
      </c>
      <c r="D104" s="1" t="s">
        <v>139</v>
      </c>
    </row>
    <row r="106" spans="1:6" ht="16.2" x14ac:dyDescent="0.35">
      <c r="A106" s="3" t="s">
        <v>65</v>
      </c>
      <c r="B106" s="44" t="s">
        <v>128</v>
      </c>
      <c r="C106" s="6">
        <f>C53*C54</f>
        <v>7.6799999999999993E-2</v>
      </c>
      <c r="D106" s="1" t="s">
        <v>127</v>
      </c>
    </row>
    <row r="107" spans="1:6" ht="17.399999999999999" x14ac:dyDescent="0.35">
      <c r="B107" s="44" t="s">
        <v>126</v>
      </c>
      <c r="C107" s="56">
        <f>C54*C53^3/12</f>
        <v>6.5536000000000012E-4</v>
      </c>
      <c r="D107" s="1" t="s">
        <v>125</v>
      </c>
    </row>
    <row r="108" spans="1:6" ht="16.2" x14ac:dyDescent="0.35">
      <c r="B108" s="44" t="s">
        <v>140</v>
      </c>
      <c r="C108" s="6">
        <f>C54*C53^2/6</f>
        <v>4.0959999999999998E-3</v>
      </c>
      <c r="D108" s="1" t="s">
        <v>139</v>
      </c>
    </row>
    <row r="110" spans="1:6" ht="17.399999999999999" x14ac:dyDescent="0.45">
      <c r="A110" s="2" t="s">
        <v>131</v>
      </c>
    </row>
    <row r="112" spans="1:6" ht="18.600000000000001" hidden="1" x14ac:dyDescent="0.45">
      <c r="A112" s="8" t="s">
        <v>2</v>
      </c>
      <c r="B112" s="45"/>
      <c r="C112" s="50"/>
      <c r="D112" s="7"/>
      <c r="E112" s="7"/>
      <c r="F112" s="7"/>
    </row>
    <row r="113" spans="1:5" ht="17.399999999999999" hidden="1" x14ac:dyDescent="0.45">
      <c r="A113" s="2" t="s">
        <v>91</v>
      </c>
    </row>
    <row r="114" spans="1:5" hidden="1" x14ac:dyDescent="0.25">
      <c r="A114" s="3" t="s">
        <v>67</v>
      </c>
    </row>
    <row r="115" spans="1:5" ht="16.2" hidden="1" x14ac:dyDescent="0.35">
      <c r="A115" s="1" t="s">
        <v>65</v>
      </c>
      <c r="B115" s="44" t="s">
        <v>88</v>
      </c>
      <c r="C115" s="6">
        <v>157.1</v>
      </c>
      <c r="E115" s="1" t="s">
        <v>90</v>
      </c>
    </row>
    <row r="116" spans="1:5" ht="16.2" hidden="1" x14ac:dyDescent="0.35">
      <c r="B116" s="44" t="s">
        <v>86</v>
      </c>
      <c r="C116" s="6">
        <v>18.5</v>
      </c>
      <c r="E116" s="1" t="s">
        <v>92</v>
      </c>
    </row>
    <row r="117" spans="1:5" ht="16.2" hidden="1" x14ac:dyDescent="0.35">
      <c r="B117" s="44" t="s">
        <v>93</v>
      </c>
      <c r="C117" s="6">
        <v>25.8</v>
      </c>
      <c r="E117" s="1" t="s">
        <v>90</v>
      </c>
    </row>
    <row r="118" spans="1:5" ht="16.2" hidden="1" x14ac:dyDescent="0.35">
      <c r="A118" s="1" t="s">
        <v>72</v>
      </c>
      <c r="B118" s="44" t="s">
        <v>89</v>
      </c>
      <c r="C118" s="6">
        <v>-157.1</v>
      </c>
      <c r="E118" s="1" t="s">
        <v>90</v>
      </c>
    </row>
    <row r="119" spans="1:5" ht="16.2" hidden="1" x14ac:dyDescent="0.35">
      <c r="B119" s="44" t="s">
        <v>87</v>
      </c>
      <c r="C119" s="6">
        <v>-2.4</v>
      </c>
      <c r="E119" s="1" t="s">
        <v>92</v>
      </c>
    </row>
    <row r="120" spans="1:5" ht="16.2" hidden="1" x14ac:dyDescent="0.35">
      <c r="B120" s="44" t="s">
        <v>93</v>
      </c>
      <c r="C120" s="6">
        <v>25.8</v>
      </c>
      <c r="E120" s="1" t="s">
        <v>90</v>
      </c>
    </row>
    <row r="121" spans="1:5" hidden="1" x14ac:dyDescent="0.25"/>
    <row r="122" spans="1:5" hidden="1" x14ac:dyDescent="0.25"/>
    <row r="123" spans="1:5" hidden="1" x14ac:dyDescent="0.25">
      <c r="A123" s="3" t="s">
        <v>99</v>
      </c>
    </row>
    <row r="124" spans="1:5" ht="16.2" hidden="1" x14ac:dyDescent="0.35">
      <c r="A124" s="1" t="s">
        <v>65</v>
      </c>
      <c r="B124" s="44" t="s">
        <v>94</v>
      </c>
      <c r="C124" s="6">
        <v>116.5</v>
      </c>
      <c r="E124" s="1" t="s">
        <v>90</v>
      </c>
    </row>
    <row r="125" spans="1:5" ht="16.2" hidden="1" x14ac:dyDescent="0.35">
      <c r="B125" s="44" t="s">
        <v>95</v>
      </c>
      <c r="C125" s="6">
        <v>13.7</v>
      </c>
      <c r="E125" s="1" t="s">
        <v>92</v>
      </c>
    </row>
    <row r="126" spans="1:5" ht="16.2" hidden="1" x14ac:dyDescent="0.35">
      <c r="B126" s="44" t="s">
        <v>97</v>
      </c>
      <c r="C126" s="6">
        <v>19.100000000000001</v>
      </c>
      <c r="E126" s="1" t="s">
        <v>90</v>
      </c>
    </row>
    <row r="127" spans="1:5" ht="16.2" hidden="1" x14ac:dyDescent="0.35">
      <c r="A127" s="1" t="s">
        <v>72</v>
      </c>
      <c r="B127" s="44" t="s">
        <v>98</v>
      </c>
      <c r="C127" s="6">
        <v>-116.5</v>
      </c>
      <c r="E127" s="1" t="s">
        <v>90</v>
      </c>
    </row>
    <row r="128" spans="1:5" ht="16.2" hidden="1" x14ac:dyDescent="0.35">
      <c r="B128" s="44" t="s">
        <v>96</v>
      </c>
      <c r="C128" s="6">
        <v>-1.78</v>
      </c>
      <c r="E128" s="1" t="s">
        <v>92</v>
      </c>
    </row>
    <row r="129" spans="1:5" ht="16.2" hidden="1" x14ac:dyDescent="0.35">
      <c r="B129" s="44" t="s">
        <v>97</v>
      </c>
      <c r="C129" s="6">
        <v>19.100000000000001</v>
      </c>
      <c r="E129" s="1" t="s">
        <v>90</v>
      </c>
    </row>
    <row r="130" spans="1:5" hidden="1" x14ac:dyDescent="0.25"/>
    <row r="131" spans="1:5" hidden="1" x14ac:dyDescent="0.25"/>
    <row r="132" spans="1:5" hidden="1" x14ac:dyDescent="0.25">
      <c r="A132" s="3" t="s">
        <v>68</v>
      </c>
    </row>
    <row r="133" spans="1:5" ht="16.2" hidden="1" x14ac:dyDescent="0.35">
      <c r="A133" s="1" t="s">
        <v>65</v>
      </c>
      <c r="B133" s="44" t="s">
        <v>100</v>
      </c>
      <c r="D133" s="1" t="s">
        <v>90</v>
      </c>
    </row>
    <row r="134" spans="1:5" ht="16.2" hidden="1" x14ac:dyDescent="0.35">
      <c r="B134" s="44" t="s">
        <v>101</v>
      </c>
      <c r="D134" s="1" t="s">
        <v>92</v>
      </c>
    </row>
    <row r="135" spans="1:5" hidden="1" x14ac:dyDescent="0.25"/>
    <row r="136" spans="1:5" ht="16.2" hidden="1" x14ac:dyDescent="0.35">
      <c r="A136" s="1" t="s">
        <v>72</v>
      </c>
      <c r="B136" s="44" t="s">
        <v>102</v>
      </c>
      <c r="D136" s="1" t="s">
        <v>90</v>
      </c>
    </row>
    <row r="137" spans="1:5" ht="16.2" hidden="1" x14ac:dyDescent="0.35">
      <c r="B137" s="44" t="s">
        <v>103</v>
      </c>
      <c r="D137" s="1" t="s">
        <v>92</v>
      </c>
    </row>
    <row r="138" spans="1:5" hidden="1" x14ac:dyDescent="0.25"/>
    <row r="139" spans="1:5" ht="16.2" hidden="1" x14ac:dyDescent="0.35">
      <c r="B139" s="44" t="s">
        <v>104</v>
      </c>
      <c r="D139" s="1" t="s">
        <v>90</v>
      </c>
    </row>
    <row r="140" spans="1:5" hidden="1" x14ac:dyDescent="0.25"/>
    <row r="141" spans="1:5" ht="17.399999999999999" hidden="1" x14ac:dyDescent="0.45">
      <c r="A141" s="2" t="s">
        <v>69</v>
      </c>
    </row>
    <row r="142" spans="1:5" hidden="1" x14ac:dyDescent="0.25"/>
    <row r="143" spans="1:5" s="2" customFormat="1" ht="17.399999999999999" hidden="1" x14ac:dyDescent="0.45">
      <c r="A143" s="1"/>
      <c r="B143" s="48"/>
      <c r="C143" s="58"/>
    </row>
    <row r="145" spans="1:8" ht="18.600000000000001" x14ac:dyDescent="0.45">
      <c r="A145" s="8" t="s">
        <v>3</v>
      </c>
    </row>
    <row r="146" spans="1:8" ht="17.399999999999999" x14ac:dyDescent="0.45">
      <c r="A146" s="2" t="s">
        <v>4</v>
      </c>
      <c r="E146" s="1" t="s">
        <v>248</v>
      </c>
      <c r="F146" s="1" t="s">
        <v>233</v>
      </c>
    </row>
    <row r="147" spans="1:8" x14ac:dyDescent="0.25">
      <c r="A147" s="25" t="s">
        <v>148</v>
      </c>
    </row>
    <row r="148" spans="1:8" ht="14.4" x14ac:dyDescent="0.3">
      <c r="A148" s="26" t="s">
        <v>217</v>
      </c>
    </row>
    <row r="149" spans="1:8" ht="16.2" x14ac:dyDescent="0.35">
      <c r="A149" s="28"/>
      <c r="B149" s="44" t="s">
        <v>158</v>
      </c>
      <c r="C149" s="51">
        <f>'SG - Stabwerk'!C5*C8+'SG - Stabwerk'!C15*C9</f>
        <v>41.29515</v>
      </c>
      <c r="D149" s="1" t="s">
        <v>92</v>
      </c>
    </row>
    <row r="150" spans="1:8" ht="16.2" x14ac:dyDescent="0.35">
      <c r="A150" s="28"/>
      <c r="B150" s="44" t="s">
        <v>159</v>
      </c>
      <c r="C150" s="51">
        <f>'SG - Stabwerk'!E5*C8+'SG - Stabwerk'!E15*C9</f>
        <v>372.44895000000002</v>
      </c>
      <c r="D150" s="1" t="s">
        <v>90</v>
      </c>
    </row>
    <row r="151" spans="1:8" ht="16.8" thickBot="1" x14ac:dyDescent="0.4">
      <c r="A151" s="28" t="s">
        <v>142</v>
      </c>
      <c r="B151" s="44" t="s">
        <v>157</v>
      </c>
      <c r="C151" s="51">
        <f>(C150/C106-C149/C108)/1000</f>
        <v>-5.2322280273437487</v>
      </c>
      <c r="D151" s="1" t="s">
        <v>14</v>
      </c>
    </row>
    <row r="152" spans="1:8" ht="16.8" thickBot="1" x14ac:dyDescent="0.4">
      <c r="A152" s="28" t="s">
        <v>237</v>
      </c>
      <c r="B152" s="49" t="s">
        <v>168</v>
      </c>
      <c r="C152" s="60">
        <f>(C150/$C$106/$C$41/$C$48/1000)+(C149/$C$108/($C$37*$C$48)/1000)</f>
        <v>1.0264747220148589</v>
      </c>
      <c r="E152" s="42"/>
      <c r="F152" s="62" t="e">
        <f>ABS(C152/E152-1)</f>
        <v>#DIV/0!</v>
      </c>
      <c r="H152">
        <v>1.1258144304520099</v>
      </c>
    </row>
    <row r="153" spans="1:8" x14ac:dyDescent="0.25">
      <c r="A153" s="28"/>
      <c r="C153" s="51"/>
      <c r="E153" s="9"/>
      <c r="F153" s="4"/>
    </row>
    <row r="154" spans="1:8" ht="16.8" thickBot="1" x14ac:dyDescent="0.4">
      <c r="A154" s="28" t="s">
        <v>150</v>
      </c>
      <c r="B154" s="44" t="s">
        <v>151</v>
      </c>
      <c r="C154" s="51">
        <f>(C150/C106+C149/C108)/1000</f>
        <v>14.931419433593749</v>
      </c>
      <c r="D154" s="1" t="s">
        <v>14</v>
      </c>
      <c r="E154" s="9"/>
      <c r="F154" s="4"/>
    </row>
    <row r="155" spans="1:8" ht="16.8" thickBot="1" x14ac:dyDescent="0.4">
      <c r="A155" s="28" t="s">
        <v>238</v>
      </c>
      <c r="B155" s="49" t="s">
        <v>152</v>
      </c>
      <c r="C155" s="60">
        <f>ABS((C150/C106/C48/C41/1000)+(C149/C108/C48/C37/1000))</f>
        <v>1.0264747220148589</v>
      </c>
      <c r="E155" s="76">
        <v>1.0510449630000001</v>
      </c>
      <c r="F155" s="62">
        <f>ABS(C155/E155-1)</f>
        <v>2.3376964687609858E-2</v>
      </c>
      <c r="H155">
        <v>1.1258144304520099</v>
      </c>
    </row>
    <row r="156" spans="1:8" x14ac:dyDescent="0.25">
      <c r="A156" s="28"/>
      <c r="B156" s="49"/>
      <c r="C156" s="60"/>
      <c r="E156" s="9"/>
      <c r="F156" s="4"/>
    </row>
    <row r="157" spans="1:8" ht="16.2" x14ac:dyDescent="0.35">
      <c r="A157" s="28"/>
      <c r="B157" s="44" t="s">
        <v>179</v>
      </c>
      <c r="C157" s="61">
        <f>'SG - Stabwerk'!D5*C8+'SG - Stabwerk'!D15*C9</f>
        <v>52.899299999999997</v>
      </c>
      <c r="D157" s="1" t="s">
        <v>90</v>
      </c>
      <c r="E157" s="9"/>
      <c r="F157" s="4"/>
    </row>
    <row r="158" spans="1:8" ht="16.8" thickBot="1" x14ac:dyDescent="0.4">
      <c r="A158" s="28"/>
      <c r="B158" s="44" t="s">
        <v>247</v>
      </c>
      <c r="C158" s="52">
        <f>C157/$C$106/1000</f>
        <v>0.68879296874999996</v>
      </c>
      <c r="D158" s="1" t="s">
        <v>14</v>
      </c>
      <c r="E158" s="9"/>
      <c r="F158" s="4"/>
    </row>
    <row r="159" spans="1:8" ht="16.8" thickBot="1" x14ac:dyDescent="0.4">
      <c r="A159" s="28" t="s">
        <v>180</v>
      </c>
      <c r="B159" s="49" t="s">
        <v>188</v>
      </c>
      <c r="C159" s="60">
        <f>1.5*C158/($C$50*$C$43)</f>
        <v>0.67157314453124983</v>
      </c>
      <c r="E159" s="76">
        <v>0.64964373399999997</v>
      </c>
      <c r="F159" s="62">
        <f>(C159/E159-1)</f>
        <v>3.3756056409911972E-2</v>
      </c>
    </row>
    <row r="160" spans="1:8" x14ac:dyDescent="0.25">
      <c r="E160" s="9"/>
      <c r="F160" s="4"/>
    </row>
    <row r="161" spans="1:8" ht="14.4" x14ac:dyDescent="0.3">
      <c r="A161" s="26" t="s">
        <v>218</v>
      </c>
      <c r="E161" s="9"/>
      <c r="F161" s="4"/>
    </row>
    <row r="162" spans="1:8" ht="16.2" x14ac:dyDescent="0.35">
      <c r="A162" s="28"/>
      <c r="B162" s="44" t="s">
        <v>155</v>
      </c>
      <c r="C162" s="51">
        <f>'SG - Stabwerk'!F5*Bemessung!C8+'SG - Stabwerk'!F15*Bemessung!C9</f>
        <v>5.5297499999999999</v>
      </c>
      <c r="D162" s="1" t="s">
        <v>92</v>
      </c>
      <c r="E162" s="9"/>
      <c r="F162" s="4"/>
    </row>
    <row r="163" spans="1:8" ht="16.2" x14ac:dyDescent="0.35">
      <c r="A163" s="28"/>
      <c r="B163" s="44" t="s">
        <v>156</v>
      </c>
      <c r="C163" s="51">
        <f>'SG - Stabwerk'!H5*Bemessung!C8+'SG - Stabwerk'!H15*Bemessung!C9</f>
        <v>-372.44895000000002</v>
      </c>
      <c r="D163" s="1" t="s">
        <v>90</v>
      </c>
      <c r="E163" s="9"/>
      <c r="F163" s="4"/>
    </row>
    <row r="164" spans="1:8" ht="16.8" thickBot="1" x14ac:dyDescent="0.4">
      <c r="A164" s="28" t="s">
        <v>142</v>
      </c>
      <c r="B164" s="44" t="s">
        <v>143</v>
      </c>
      <c r="C164" s="51">
        <f>(C163/C102-C162/C104)/1000</f>
        <v>-14.577411111111109</v>
      </c>
      <c r="D164" s="1" t="s">
        <v>14</v>
      </c>
      <c r="E164" s="9"/>
      <c r="F164" s="4"/>
    </row>
    <row r="165" spans="1:8" ht="16.8" thickBot="1" x14ac:dyDescent="0.4">
      <c r="A165" s="28" t="s">
        <v>212</v>
      </c>
      <c r="B165" s="49" t="s">
        <v>149</v>
      </c>
      <c r="C165" s="60">
        <f>ABS(C164/C62)</f>
        <v>0.85749477124182993</v>
      </c>
      <c r="E165" s="76">
        <v>0.84899499099999998</v>
      </c>
      <c r="F165" s="62">
        <f>(C165/E165-1)</f>
        <v>1.0011578786605524E-2</v>
      </c>
      <c r="H165" s="1" t="s">
        <v>272</v>
      </c>
    </row>
    <row r="166" spans="1:8" x14ac:dyDescent="0.25">
      <c r="A166" s="29"/>
      <c r="B166" s="49"/>
      <c r="C166" s="60"/>
      <c r="E166" s="9"/>
      <c r="F166" s="62"/>
    </row>
    <row r="167" spans="1:8" ht="16.8" thickBot="1" x14ac:dyDescent="0.4">
      <c r="A167" s="28" t="s">
        <v>150</v>
      </c>
      <c r="B167" s="44" t="s">
        <v>153</v>
      </c>
      <c r="C167" s="51">
        <f>(C163/C102+C162/C104)/1000</f>
        <v>0.78300555555555362</v>
      </c>
      <c r="D167" s="1" t="s">
        <v>14</v>
      </c>
      <c r="E167" s="9"/>
      <c r="F167" s="62"/>
    </row>
    <row r="168" spans="1:8" ht="16.8" thickBot="1" x14ac:dyDescent="0.4">
      <c r="A168" s="28" t="s">
        <v>213</v>
      </c>
      <c r="B168" s="49" t="s">
        <v>154</v>
      </c>
      <c r="C168" s="60">
        <f>ABS(C167/C65)</f>
        <v>0.68150709091447526</v>
      </c>
      <c r="E168" s="42"/>
      <c r="F168" s="62"/>
    </row>
    <row r="169" spans="1:8" x14ac:dyDescent="0.25">
      <c r="A169" s="21"/>
      <c r="B169" s="49"/>
      <c r="C169" s="60"/>
      <c r="E169" s="9"/>
      <c r="F169" s="62"/>
    </row>
    <row r="170" spans="1:8" ht="14.4" x14ac:dyDescent="0.3">
      <c r="A170" s="26" t="s">
        <v>219</v>
      </c>
      <c r="B170" s="49"/>
      <c r="C170" s="60"/>
      <c r="E170" s="9"/>
      <c r="F170" s="62"/>
    </row>
    <row r="171" spans="1:8" ht="16.8" thickBot="1" x14ac:dyDescent="0.4">
      <c r="A171" s="28" t="s">
        <v>208</v>
      </c>
      <c r="B171" s="44" t="s">
        <v>209</v>
      </c>
      <c r="C171" s="51">
        <f>'SG - Stabwerk'!I5*$C$8+'SG - Stabwerk'!I15*$C$9</f>
        <v>135.66000000000003</v>
      </c>
      <c r="D171" s="1" t="s">
        <v>90</v>
      </c>
      <c r="E171" s="9"/>
      <c r="F171" s="62"/>
    </row>
    <row r="172" spans="1:8" ht="16.8" thickBot="1" x14ac:dyDescent="0.4">
      <c r="A172" s="28" t="s">
        <v>210</v>
      </c>
      <c r="B172" s="49" t="s">
        <v>215</v>
      </c>
      <c r="C172" s="60">
        <f>ABS(C171/$C$91)</f>
        <v>2.7608332418119437</v>
      </c>
      <c r="E172" s="76">
        <v>2.776282632</v>
      </c>
      <c r="F172" s="62">
        <f>ABS(C172/E172-1)</f>
        <v>5.5647757220332883E-3</v>
      </c>
      <c r="H172" s="1" t="s">
        <v>257</v>
      </c>
    </row>
    <row r="173" spans="1:8" x14ac:dyDescent="0.25">
      <c r="A173" s="21"/>
      <c r="B173" s="49"/>
      <c r="C173" s="60"/>
      <c r="E173" s="9"/>
      <c r="F173" s="62"/>
    </row>
    <row r="174" spans="1:8" x14ac:dyDescent="0.25">
      <c r="A174" s="25" t="s">
        <v>170</v>
      </c>
      <c r="E174" s="9"/>
      <c r="F174" s="4"/>
    </row>
    <row r="175" spans="1:8" ht="14.4" x14ac:dyDescent="0.3">
      <c r="A175" s="26" t="s">
        <v>217</v>
      </c>
      <c r="E175" s="9"/>
      <c r="F175" s="4"/>
    </row>
    <row r="176" spans="1:8" ht="16.2" x14ac:dyDescent="0.35">
      <c r="A176" s="28"/>
      <c r="B176" s="44" t="s">
        <v>158</v>
      </c>
      <c r="C176" s="51">
        <f>'SG - Stabwerk'!C6*C8+C9*('SG - Stabwerk'!C15*(1-C13)+'SG - Stabwerk'!C16*C13)+0.6*'SG - Stabwerk'!C26*C10</f>
        <v>64.755300000000005</v>
      </c>
      <c r="D176" s="1" t="s">
        <v>92</v>
      </c>
      <c r="E176" s="9"/>
      <c r="F176" s="4"/>
    </row>
    <row r="177" spans="1:8" ht="16.2" x14ac:dyDescent="0.35">
      <c r="A177" s="28"/>
      <c r="B177" s="44" t="s">
        <v>159</v>
      </c>
      <c r="C177" s="51">
        <f>'SG - Stabwerk'!E6*C8+C9*('SG - Stabwerk'!E15*(1-C13)+'SG - Stabwerk'!E16*C13)+0.6*'SG - Stabwerk'!E26*C10</f>
        <v>326.41590000000002</v>
      </c>
      <c r="D177" s="1" t="s">
        <v>90</v>
      </c>
      <c r="E177" s="9"/>
      <c r="F177" s="4"/>
    </row>
    <row r="178" spans="1:8" ht="16.8" thickBot="1" x14ac:dyDescent="0.4">
      <c r="A178" s="28" t="s">
        <v>142</v>
      </c>
      <c r="B178" s="44" t="s">
        <v>157</v>
      </c>
      <c r="C178" s="51">
        <f>(C177/C106-C176/C108)/1000</f>
        <v>-11.559192382812499</v>
      </c>
      <c r="D178" s="1" t="s">
        <v>14</v>
      </c>
      <c r="E178" s="9"/>
      <c r="F178" s="62"/>
    </row>
    <row r="179" spans="1:8" ht="16.8" thickBot="1" x14ac:dyDescent="0.4">
      <c r="A179" s="28" t="s">
        <v>237</v>
      </c>
      <c r="B179" s="49" t="s">
        <v>171</v>
      </c>
      <c r="C179" s="59">
        <f>(C177/$C$106/$C$41/$C$48/1000)+(C176/$C$108/($C$37*$C$48)/1000)</f>
        <v>1.3430132195036657</v>
      </c>
      <c r="E179" s="42"/>
      <c r="F179" s="62" t="e">
        <f>ABS(C179/E179-1)</f>
        <v>#DIV/0!</v>
      </c>
      <c r="H179"/>
    </row>
    <row r="180" spans="1:8" x14ac:dyDescent="0.25">
      <c r="A180" s="28"/>
      <c r="C180" s="51"/>
      <c r="E180" s="9"/>
      <c r="F180" s="62"/>
    </row>
    <row r="181" spans="1:8" ht="16.8" thickBot="1" x14ac:dyDescent="0.4">
      <c r="A181" s="28" t="s">
        <v>150</v>
      </c>
      <c r="B181" s="44" t="s">
        <v>151</v>
      </c>
      <c r="C181" s="51">
        <f>(C177/C106+C176/C108)/1000</f>
        <v>20.059606445312504</v>
      </c>
      <c r="D181" s="1" t="s">
        <v>14</v>
      </c>
      <c r="E181" s="9"/>
      <c r="F181" s="62"/>
    </row>
    <row r="182" spans="1:8" ht="16.8" thickBot="1" x14ac:dyDescent="0.4">
      <c r="A182" s="28" t="s">
        <v>238</v>
      </c>
      <c r="B182" s="49" t="s">
        <v>172</v>
      </c>
      <c r="C182" s="60">
        <f>(C177/$C$106/$C$39/$C$48/1000)+C176/$C$108/$C$48/$C$37/1000</f>
        <v>1.2754528384372121</v>
      </c>
      <c r="E182" s="76">
        <v>1.3363976689999999</v>
      </c>
      <c r="F182" s="62">
        <f>ABS(C182/E182-1)</f>
        <v>4.5603813877041266E-2</v>
      </c>
      <c r="H182"/>
    </row>
    <row r="183" spans="1:8" x14ac:dyDescent="0.25">
      <c r="A183" s="28"/>
      <c r="C183" s="53"/>
      <c r="E183" s="9"/>
      <c r="F183" s="62"/>
    </row>
    <row r="184" spans="1:8" ht="16.8" thickBot="1" x14ac:dyDescent="0.4">
      <c r="A184" s="28"/>
      <c r="B184" s="44" t="s">
        <v>179</v>
      </c>
      <c r="C184" s="51">
        <f>'SG - Stabwerk'!D6*C8+C9*('SG - Stabwerk'!D15*(1-C13)+'SG - Stabwerk'!D16*C13)+0.6*'SG - Stabwerk'!D26*C10</f>
        <v>58.732200000000006</v>
      </c>
      <c r="D184" s="1" t="s">
        <v>90</v>
      </c>
      <c r="E184" s="9"/>
      <c r="F184" s="62"/>
    </row>
    <row r="185" spans="1:8" ht="16.8" thickBot="1" x14ac:dyDescent="0.4">
      <c r="A185" s="28" t="s">
        <v>180</v>
      </c>
      <c r="B185" s="49" t="s">
        <v>181</v>
      </c>
      <c r="C185" s="60">
        <f>1.5*C184/($C$106*1000*$C$50*$C$43)</f>
        <v>0.74562363281249999</v>
      </c>
      <c r="E185" s="42">
        <v>0.721290078</v>
      </c>
      <c r="F185" s="62">
        <f>ABS(C185/E185-1)</f>
        <v>3.373615630478688E-2</v>
      </c>
    </row>
    <row r="186" spans="1:8" x14ac:dyDescent="0.25">
      <c r="A186" s="28"/>
      <c r="E186" s="9"/>
      <c r="F186" s="62"/>
    </row>
    <row r="187" spans="1:8" ht="14.4" x14ac:dyDescent="0.3">
      <c r="A187" s="26" t="s">
        <v>218</v>
      </c>
      <c r="E187" s="9"/>
      <c r="F187" s="62"/>
    </row>
    <row r="188" spans="1:8" ht="16.2" x14ac:dyDescent="0.35">
      <c r="A188" s="28"/>
      <c r="B188" s="44" t="s">
        <v>155</v>
      </c>
      <c r="C188" s="51">
        <f>'SG - Stabwerk'!F6*C8+C9*('SG - Stabwerk'!F15*(1-C13)+'SG - Stabwerk'!F16*C13)+0.6*'SG - Stabwerk'!F26*C10</f>
        <v>2.8867500000000001</v>
      </c>
      <c r="D188" s="1" t="s">
        <v>92</v>
      </c>
      <c r="E188" s="9"/>
      <c r="F188" s="62"/>
    </row>
    <row r="189" spans="1:8" ht="16.2" x14ac:dyDescent="0.35">
      <c r="A189" s="28"/>
      <c r="B189" s="44" t="s">
        <v>156</v>
      </c>
      <c r="C189" s="51">
        <f>'SG - Stabwerk'!H6*C8+C9*('SG - Stabwerk'!H15*(1-C13)+'SG - Stabwerk'!H16*C13)+0.6*'SG - Stabwerk'!H26*C10</f>
        <v>-326.41590000000002</v>
      </c>
      <c r="D189" s="1" t="s">
        <v>90</v>
      </c>
      <c r="E189" s="9"/>
      <c r="F189" s="62"/>
    </row>
    <row r="190" spans="1:8" ht="16.8" thickBot="1" x14ac:dyDescent="0.4">
      <c r="A190" s="28" t="s">
        <v>142</v>
      </c>
      <c r="B190" s="44" t="s">
        <v>143</v>
      </c>
      <c r="C190" s="51">
        <f>(C189/C102-C188/C104)/1000</f>
        <v>-10.054113888888887</v>
      </c>
      <c r="D190" s="1" t="s">
        <v>14</v>
      </c>
      <c r="E190" s="9"/>
      <c r="F190" s="62"/>
    </row>
    <row r="191" spans="1:8" ht="16.8" thickBot="1" x14ac:dyDescent="0.4">
      <c r="A191" s="28" t="s">
        <v>167</v>
      </c>
      <c r="B191" s="49" t="s">
        <v>173</v>
      </c>
      <c r="C191" s="60">
        <f>ABS(C190/$C$62)</f>
        <v>0.59141846405228748</v>
      </c>
      <c r="E191" s="76">
        <v>0.51166703000000002</v>
      </c>
      <c r="F191" s="62">
        <f>ABS(C191/E191-1)</f>
        <v>0.155865884210455</v>
      </c>
    </row>
    <row r="192" spans="1:8" x14ac:dyDescent="0.25">
      <c r="A192" s="29"/>
      <c r="B192" s="49"/>
      <c r="C192" s="60"/>
      <c r="E192" s="9"/>
      <c r="F192" s="62"/>
    </row>
    <row r="193" spans="1:8" ht="16.8" thickBot="1" x14ac:dyDescent="0.4">
      <c r="A193" s="28" t="s">
        <v>150</v>
      </c>
      <c r="B193" s="44" t="s">
        <v>153</v>
      </c>
      <c r="C193" s="51">
        <f>(C189/C102+C188/C104)/1000</f>
        <v>-2.0353638888888885</v>
      </c>
      <c r="D193" s="1" t="s">
        <v>14</v>
      </c>
      <c r="E193" s="9"/>
      <c r="F193" s="62"/>
    </row>
    <row r="194" spans="1:8" ht="16.8" thickBot="1" x14ac:dyDescent="0.4">
      <c r="A194" s="28" t="s">
        <v>169</v>
      </c>
      <c r="B194" s="49" t="s">
        <v>174</v>
      </c>
      <c r="C194" s="60">
        <f>ABS(C193/$C$65)</f>
        <v>1.7715262848740094</v>
      </c>
      <c r="E194" s="42"/>
      <c r="F194" s="62"/>
    </row>
    <row r="195" spans="1:8" x14ac:dyDescent="0.25">
      <c r="A195" s="28"/>
      <c r="B195" s="49"/>
      <c r="C195" s="60"/>
      <c r="E195" s="9"/>
      <c r="F195" s="62"/>
    </row>
    <row r="196" spans="1:8" ht="14.4" x14ac:dyDescent="0.3">
      <c r="A196" s="26" t="s">
        <v>219</v>
      </c>
      <c r="B196" s="49"/>
      <c r="C196" s="60"/>
      <c r="E196" s="9"/>
      <c r="F196" s="62"/>
    </row>
    <row r="197" spans="1:8" ht="16.8" thickBot="1" x14ac:dyDescent="0.4">
      <c r="A197" s="28" t="s">
        <v>208</v>
      </c>
      <c r="B197" s="44" t="s">
        <v>209</v>
      </c>
      <c r="C197" s="51">
        <f>'SG - Stabwerk'!I6*C8+C9*('SG - Stabwerk'!I15*(1-C13)+'SG - Stabwerk'!I16*C13)+0.6*'SG - Stabwerk'!I26*C10</f>
        <v>94.513499999999993</v>
      </c>
      <c r="D197" s="1" t="s">
        <v>90</v>
      </c>
      <c r="E197" s="9"/>
      <c r="F197" s="62"/>
    </row>
    <row r="198" spans="1:8" ht="16.8" thickBot="1" x14ac:dyDescent="0.4">
      <c r="A198" s="28" t="s">
        <v>210</v>
      </c>
      <c r="B198" s="49" t="s">
        <v>214</v>
      </c>
      <c r="C198" s="60">
        <f>ABS(C197/$C$91)</f>
        <v>1.9234557909479069</v>
      </c>
      <c r="E198" s="42">
        <v>1.9183461850000001</v>
      </c>
      <c r="F198" s="62">
        <f>ABS(C198/E198-1)</f>
        <v>2.6635473763076956E-3</v>
      </c>
    </row>
    <row r="199" spans="1:8" x14ac:dyDescent="0.25">
      <c r="A199" s="21"/>
      <c r="B199" s="49"/>
      <c r="C199" s="60"/>
      <c r="E199" s="9"/>
      <c r="F199" s="62"/>
    </row>
    <row r="200" spans="1:8" ht="14.4" x14ac:dyDescent="0.3">
      <c r="A200" s="25" t="s">
        <v>216</v>
      </c>
      <c r="E200" s="9"/>
      <c r="F200" s="62"/>
    </row>
    <row r="201" spans="1:8" ht="14.4" x14ac:dyDescent="0.3">
      <c r="A201" s="26" t="s">
        <v>217</v>
      </c>
      <c r="E201" s="9"/>
      <c r="F201" s="62"/>
    </row>
    <row r="202" spans="1:8" ht="16.2" x14ac:dyDescent="0.35">
      <c r="A202" s="28"/>
      <c r="B202" s="44" t="s">
        <v>158</v>
      </c>
      <c r="C202" s="51">
        <f>'SG - Stabwerk'!C7*C8+C9*('SG - Stabwerk'!C15*(1-C13)+'SG - Stabwerk'!C17*C13)+0.9*'SG - Stabwerk'!C27*C10</f>
        <v>64.713149999999999</v>
      </c>
      <c r="D202" s="1" t="s">
        <v>92</v>
      </c>
      <c r="E202" s="9"/>
      <c r="F202" s="62"/>
    </row>
    <row r="203" spans="1:8" ht="16.2" x14ac:dyDescent="0.35">
      <c r="A203" s="28"/>
      <c r="B203" s="44" t="s">
        <v>159</v>
      </c>
      <c r="C203" s="51">
        <f>'SG - Stabwerk'!E7*C8+C9*('SG - Stabwerk'!E15*(1-C13)+'SG - Stabwerk'!E17*C13)+0.9*'SG - Stabwerk'!E27*C10</f>
        <v>338.72280000000001</v>
      </c>
      <c r="D203" s="1" t="s">
        <v>90</v>
      </c>
      <c r="E203" s="9"/>
      <c r="F203" s="62"/>
    </row>
    <row r="204" spans="1:8" ht="16.8" thickBot="1" x14ac:dyDescent="0.4">
      <c r="A204" s="28" t="s">
        <v>142</v>
      </c>
      <c r="B204" s="44" t="s">
        <v>157</v>
      </c>
      <c r="C204" s="52">
        <f>(C203/$C$106-C202/$C$108)/1000</f>
        <v>-11.38865576171875</v>
      </c>
      <c r="D204" s="1" t="s">
        <v>14</v>
      </c>
      <c r="E204" s="9"/>
      <c r="F204" s="62"/>
    </row>
    <row r="205" spans="1:8" ht="16.8" thickBot="1" x14ac:dyDescent="0.4">
      <c r="A205" s="28" t="s">
        <v>237</v>
      </c>
      <c r="B205" s="49" t="s">
        <v>175</v>
      </c>
      <c r="C205" s="59">
        <f>(C203/$C$106/$C$41/$C$48/1000)+(C202/$C$108/($C$37*$C$48)/1000)</f>
        <v>1.3550951034256415</v>
      </c>
      <c r="E205" s="42"/>
      <c r="F205" s="62" t="e">
        <f>ABS(C205/E205-1)</f>
        <v>#DIV/0!</v>
      </c>
      <c r="H205">
        <v>1.42501650873328</v>
      </c>
    </row>
    <row r="206" spans="1:8" x14ac:dyDescent="0.25">
      <c r="A206" s="28"/>
      <c r="C206" s="51"/>
      <c r="E206" s="9"/>
      <c r="F206" s="62"/>
    </row>
    <row r="207" spans="1:8" ht="16.8" thickBot="1" x14ac:dyDescent="0.4">
      <c r="A207" s="28" t="s">
        <v>150</v>
      </c>
      <c r="B207" s="44" t="s">
        <v>151</v>
      </c>
      <c r="C207" s="51">
        <f>(C203/$C$106+C202/$C$108)/1000</f>
        <v>20.209562011718749</v>
      </c>
      <c r="D207" s="1" t="s">
        <v>14</v>
      </c>
      <c r="E207" s="9"/>
      <c r="F207" s="62"/>
    </row>
    <row r="208" spans="1:8" ht="16.8" thickBot="1" x14ac:dyDescent="0.4">
      <c r="A208" s="28" t="s">
        <v>238</v>
      </c>
      <c r="B208" s="49" t="s">
        <v>176</v>
      </c>
      <c r="C208" s="60">
        <f>(C203/$C$106/$C$39/$C$48/1000)+C202/$C$108/$C$48/$C$37/1000</f>
        <v>1.2849874847590994</v>
      </c>
      <c r="E208" s="42">
        <v>1.348512967</v>
      </c>
      <c r="F208" s="62">
        <f>ABS(C208/E208-1)</f>
        <v>4.710780229442213E-2</v>
      </c>
      <c r="H208"/>
    </row>
    <row r="209" spans="1:6" x14ac:dyDescent="0.25">
      <c r="A209" s="28"/>
      <c r="B209" s="49"/>
      <c r="C209" s="60"/>
      <c r="E209" s="9"/>
      <c r="F209" s="62"/>
    </row>
    <row r="210" spans="1:6" ht="16.8" thickBot="1" x14ac:dyDescent="0.4">
      <c r="A210" s="28"/>
      <c r="B210" s="44" t="s">
        <v>179</v>
      </c>
      <c r="C210" s="51">
        <f>'SG - Stabwerk'!D7*C8+C9*('SG - Stabwerk'!D15*(1-C13)+'SG - Stabwerk'!D17*C13)+0.9*'SG - Stabwerk'!D27*C10</f>
        <v>58.675049999999999</v>
      </c>
      <c r="D210" s="1" t="s">
        <v>90</v>
      </c>
      <c r="E210" s="9"/>
      <c r="F210" s="62"/>
    </row>
    <row r="211" spans="1:6" ht="16.8" thickBot="1" x14ac:dyDescent="0.4">
      <c r="A211" s="28" t="s">
        <v>180</v>
      </c>
      <c r="B211" s="49" t="s">
        <v>187</v>
      </c>
      <c r="C211" s="60">
        <f>1.5*C210/($C$106*1000*$C$50*$C$43)</f>
        <v>0.74489809570312493</v>
      </c>
      <c r="E211" s="76">
        <v>0.72059085099999998</v>
      </c>
      <c r="F211" s="62">
        <f>ABS(C211/E211-1)</f>
        <v>3.3732380406152229E-2</v>
      </c>
    </row>
    <row r="212" spans="1:6" x14ac:dyDescent="0.25">
      <c r="A212" s="28"/>
      <c r="B212" s="49"/>
      <c r="C212" s="60"/>
      <c r="E212" s="9"/>
      <c r="F212" s="62"/>
    </row>
    <row r="213" spans="1:6" ht="14.4" x14ac:dyDescent="0.3">
      <c r="A213" s="27" t="s">
        <v>218</v>
      </c>
      <c r="E213" s="9"/>
      <c r="F213" s="62"/>
    </row>
    <row r="214" spans="1:6" ht="16.2" x14ac:dyDescent="0.35">
      <c r="A214" s="28"/>
      <c r="B214" s="44" t="s">
        <v>155</v>
      </c>
      <c r="C214" s="51">
        <f>'SG - Stabwerk'!F7*C8+C9*('SG - Stabwerk'!F15*(1-C13)+'SG - Stabwerk'!F17*C13)+0.9*'SG - Stabwerk'!F27*C10</f>
        <v>2.8517999999999999</v>
      </c>
      <c r="D214" s="1" t="s">
        <v>92</v>
      </c>
      <c r="E214" s="9"/>
      <c r="F214" s="62"/>
    </row>
    <row r="215" spans="1:6" ht="16.2" x14ac:dyDescent="0.35">
      <c r="A215" s="28"/>
      <c r="B215" s="44" t="s">
        <v>156</v>
      </c>
      <c r="C215" s="51">
        <f>'SG - Stabwerk'!H7*C8+C9*('SG - Stabwerk'!H15*(1-C13)+'SG - Stabwerk'!H17*C13)+0.9*'SG - Stabwerk'!H27*C10</f>
        <v>-338.72280000000001</v>
      </c>
      <c r="D215" s="1" t="s">
        <v>90</v>
      </c>
      <c r="E215" s="9"/>
      <c r="F215" s="62"/>
    </row>
    <row r="216" spans="1:6" ht="16.8" thickBot="1" x14ac:dyDescent="0.4">
      <c r="A216" s="28" t="s">
        <v>142</v>
      </c>
      <c r="B216" s="44" t="s">
        <v>143</v>
      </c>
      <c r="C216" s="53">
        <f>(C215/$C$102-C214/$C$104)/1000</f>
        <v>-10.233477777777777</v>
      </c>
      <c r="D216" s="1" t="s">
        <v>14</v>
      </c>
      <c r="E216" s="9"/>
      <c r="F216" s="62"/>
    </row>
    <row r="217" spans="1:6" ht="16.8" thickBot="1" x14ac:dyDescent="0.4">
      <c r="A217" s="28" t="s">
        <v>167</v>
      </c>
      <c r="B217" s="49" t="s">
        <v>177</v>
      </c>
      <c r="C217" s="60">
        <f>ABS(C216/$C$62)</f>
        <v>0.60196928104575154</v>
      </c>
      <c r="E217" s="76">
        <v>0.51824317399999997</v>
      </c>
      <c r="F217" s="62">
        <f>ABS(C217/E217-1)</f>
        <v>0.1615575684278121</v>
      </c>
    </row>
    <row r="218" spans="1:6" x14ac:dyDescent="0.25">
      <c r="A218" s="29"/>
      <c r="B218" s="49"/>
      <c r="C218" s="60"/>
      <c r="E218" s="9"/>
      <c r="F218" s="62"/>
    </row>
    <row r="219" spans="1:6" ht="16.8" thickBot="1" x14ac:dyDescent="0.4">
      <c r="A219" s="28" t="s">
        <v>150</v>
      </c>
      <c r="B219" s="44" t="s">
        <v>153</v>
      </c>
      <c r="C219" s="51">
        <f>(C215/C102+C214/C104)/1000</f>
        <v>-2.3118111111111119</v>
      </c>
      <c r="D219" s="1" t="s">
        <v>14</v>
      </c>
      <c r="E219" s="9"/>
      <c r="F219" s="62"/>
    </row>
    <row r="220" spans="1:6" ht="16.8" thickBot="1" x14ac:dyDescent="0.4">
      <c r="A220" s="28" t="s">
        <v>169</v>
      </c>
      <c r="B220" s="49" t="s">
        <v>178</v>
      </c>
      <c r="C220" s="60">
        <f>ABS(C219/$C$65)</f>
        <v>2.0121385524004918</v>
      </c>
      <c r="E220" s="42"/>
      <c r="F220" s="62"/>
    </row>
    <row r="221" spans="1:6" x14ac:dyDescent="0.25">
      <c r="A221" s="29"/>
      <c r="B221" s="49"/>
      <c r="C221" s="60"/>
      <c r="E221" s="9"/>
      <c r="F221" s="62"/>
    </row>
    <row r="222" spans="1:6" ht="14.4" x14ac:dyDescent="0.3">
      <c r="A222" s="26" t="s">
        <v>219</v>
      </c>
      <c r="B222" s="49"/>
      <c r="C222" s="60"/>
      <c r="E222" s="9"/>
      <c r="F222" s="62"/>
    </row>
    <row r="223" spans="1:6" ht="16.8" thickBot="1" x14ac:dyDescent="0.4">
      <c r="A223" s="28" t="s">
        <v>208</v>
      </c>
      <c r="B223" s="44" t="s">
        <v>209</v>
      </c>
      <c r="C223" s="51">
        <f>'SG - Stabwerk'!I7*C8+C9*('SG - Stabwerk'!I15*(1-C13)+'SG - Stabwerk'!I17*C13)+0.9*'SG - Stabwerk'!I27*C10</f>
        <v>92.568449999999999</v>
      </c>
      <c r="D223" s="1" t="s">
        <v>90</v>
      </c>
      <c r="E223" s="9"/>
      <c r="F223" s="62"/>
    </row>
    <row r="224" spans="1:6" ht="16.8" thickBot="1" x14ac:dyDescent="0.4">
      <c r="A224" s="28" t="s">
        <v>210</v>
      </c>
      <c r="B224" s="49" t="s">
        <v>211</v>
      </c>
      <c r="C224" s="60">
        <f>ABS(C223/$C$91)</f>
        <v>1.8838718406531532</v>
      </c>
      <c r="E224" s="76">
        <v>1.9398018699999999</v>
      </c>
      <c r="F224" s="62">
        <f>ABS(C224/E224-1)</f>
        <v>2.8832856701414999E-2</v>
      </c>
    </row>
    <row r="225" spans="1:6" x14ac:dyDescent="0.25">
      <c r="A225" s="21"/>
      <c r="B225" s="49"/>
      <c r="C225" s="60"/>
      <c r="E225" s="9"/>
      <c r="F225" s="62"/>
    </row>
    <row r="226" spans="1:6" x14ac:dyDescent="0.25">
      <c r="E226" s="9"/>
      <c r="F226" s="62"/>
    </row>
    <row r="227" spans="1:6" ht="17.399999999999999" x14ac:dyDescent="0.45">
      <c r="A227" s="2" t="s">
        <v>5</v>
      </c>
      <c r="E227" s="9"/>
      <c r="F227" s="62"/>
    </row>
    <row r="228" spans="1:6" x14ac:dyDescent="0.25">
      <c r="A228" s="1" t="s">
        <v>226</v>
      </c>
      <c r="E228" s="9"/>
      <c r="F228" s="62"/>
    </row>
    <row r="229" spans="1:6" ht="17.399999999999999" x14ac:dyDescent="0.45">
      <c r="A229" s="2"/>
      <c r="B229" s="46" t="s">
        <v>224</v>
      </c>
      <c r="C229" s="52">
        <f>(C106*1000000*C44^2*C107*'SG - Stabwerk'!E5)/(C68*1000*C102*(C44*1000*C106*'SG - Stabwerk'!C5*(C53/2+C70-C100/2)-(C44*1000*C107*'SG - Stabwerk'!E5)))</f>
        <v>0.26801941078914371</v>
      </c>
      <c r="E229" s="9"/>
      <c r="F229" s="62"/>
    </row>
    <row r="230" spans="1:6" ht="17.399999999999999" x14ac:dyDescent="0.45">
      <c r="A230" s="2"/>
      <c r="B230" s="46" t="s">
        <v>225</v>
      </c>
      <c r="C230" s="52" t="e">
        <f>(C106*1000000*C44^2*C107*'SG - Stabwerk'!E8)/(C68*1000*C102*(C44*1000*C106*'SG - Stabwerk'!C8*(C53/2+C70-C100/2)-(C44*1000*C107*'SG - Stabwerk'!E8)))</f>
        <v>#DIV/0!</v>
      </c>
      <c r="E230" s="9"/>
      <c r="F230" s="62"/>
    </row>
    <row r="231" spans="1:6" ht="14.4" x14ac:dyDescent="0.3">
      <c r="A231" s="1" t="s">
        <v>227</v>
      </c>
      <c r="B231" s="46"/>
      <c r="C231" s="52"/>
      <c r="E231" s="9"/>
      <c r="F231" s="62"/>
    </row>
    <row r="232" spans="1:6" ht="17.399999999999999" x14ac:dyDescent="0.45">
      <c r="A232" s="2"/>
      <c r="B232" s="46" t="s">
        <v>228</v>
      </c>
      <c r="C232" s="53">
        <f>(C44*C106*(C70+C53/2)+C68*C102*C100/2*C229)/(C106*C44+C102*C68*C229)</f>
        <v>0.1830341065855646</v>
      </c>
      <c r="D232" s="1" t="s">
        <v>38</v>
      </c>
      <c r="E232" s="9"/>
      <c r="F232" s="62"/>
    </row>
    <row r="233" spans="1:6" ht="17.399999999999999" x14ac:dyDescent="0.45">
      <c r="A233" s="2"/>
      <c r="B233" s="46" t="s">
        <v>229</v>
      </c>
      <c r="C233" s="53" t="e">
        <f>(C44*C106*(C70+C53/2)+C68*C102*C100/2*C230)/(C106*C44+C102*C68*C230)</f>
        <v>#DIV/0!</v>
      </c>
      <c r="D233" s="1" t="s">
        <v>38</v>
      </c>
      <c r="E233" s="9"/>
      <c r="F233" s="62"/>
    </row>
    <row r="234" spans="1:6" ht="14.4" x14ac:dyDescent="0.3">
      <c r="A234" s="1" t="s">
        <v>230</v>
      </c>
      <c r="B234" s="46"/>
      <c r="C234" s="52"/>
      <c r="E234" s="9"/>
      <c r="F234" s="62"/>
    </row>
    <row r="235" spans="1:6" ht="15.6" x14ac:dyDescent="0.35">
      <c r="B235" s="46" t="s">
        <v>231</v>
      </c>
      <c r="C235" s="52"/>
      <c r="E235" s="9"/>
      <c r="F235" s="62"/>
    </row>
    <row r="236" spans="1:6" ht="15.6" x14ac:dyDescent="0.35">
      <c r="B236" s="46" t="s">
        <v>232</v>
      </c>
      <c r="C236" s="52"/>
      <c r="F236" s="62"/>
    </row>
    <row r="237" spans="1:6" ht="14.4" x14ac:dyDescent="0.3">
      <c r="B237" s="46"/>
      <c r="C237" s="52"/>
    </row>
    <row r="238" spans="1:6" ht="14.4" x14ac:dyDescent="0.3">
      <c r="B238" s="46"/>
      <c r="C238" s="52"/>
    </row>
    <row r="239" spans="1:6" ht="14.4" x14ac:dyDescent="0.3">
      <c r="B239" s="46"/>
      <c r="C239" s="52"/>
    </row>
    <row r="240" spans="1:6" ht="14.4" x14ac:dyDescent="0.3">
      <c r="B240" s="46"/>
      <c r="C240" s="52"/>
    </row>
    <row r="242" spans="1:1" x14ac:dyDescent="0.25">
      <c r="A242" s="3" t="s">
        <v>6</v>
      </c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8" spans="1:1" x14ac:dyDescent="0.25">
      <c r="A248" s="3" t="s">
        <v>7</v>
      </c>
    </row>
  </sheetData>
  <mergeCells count="1">
    <mergeCell ref="G2:L2"/>
  </mergeCells>
  <conditionalFormatting sqref="I181">
    <cfRule type="iconSet" priority="7">
      <iconSet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10034024-9AD7-433D-BDC1-61122E4CF6F4}">
            <x14:iconSet custom="1">
              <x14:cfvo type="percent">
                <xm:f>0</xm:f>
              </x14:cfvo>
              <x14:cfvo type="num">
                <xm:f>0.05</xm:f>
              </x14:cfvo>
              <x14:cfvo type="num">
                <xm:f>0.1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F152 F155 F159</xm:sqref>
        </x14:conditionalFormatting>
        <x14:conditionalFormatting xmlns:xm="http://schemas.microsoft.com/office/excel/2006/main">
          <x14:cfRule type="iconSet" priority="5" id="{0F978B29-3854-4A89-BDC1-8082F8757F85}">
            <x14:iconSet custom="1">
              <x14:cfvo type="percent">
                <xm:f>0</xm:f>
              </x14:cfvo>
              <x14:cfvo type="num">
                <xm:f>0.05</xm:f>
              </x14:cfvo>
              <x14:cfvo type="num">
                <xm:f>0.1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F165:F173</xm:sqref>
        </x14:conditionalFormatting>
        <x14:conditionalFormatting xmlns:xm="http://schemas.microsoft.com/office/excel/2006/main">
          <x14:cfRule type="iconSet" priority="4" id="{01886F15-8BE0-4279-A38F-839F49FC3DFF}">
            <x14:iconSet custom="1">
              <x14:cfvo type="percent">
                <xm:f>0</xm:f>
              </x14:cfvo>
              <x14:cfvo type="num">
                <xm:f>0.05</xm:f>
              </x14:cfvo>
              <x14:cfvo type="num">
                <xm:f>0.1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F178:F236</xm:sqref>
        </x14:conditionalFormatting>
        <x14:conditionalFormatting xmlns:xm="http://schemas.microsoft.com/office/excel/2006/main">
          <x14:cfRule type="iconSet" priority="3" id="{0E400338-17BB-4412-9D5A-2E98C6493DF4}">
            <x14:iconSet custom="1">
              <x14:cfvo type="percent">
                <xm:f>0</xm:f>
              </x14:cfvo>
              <x14:cfvo type="num">
                <xm:f>0.05</xm:f>
              </x14:cfvo>
              <x14:cfvo type="num">
                <xm:f>0.1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H4:J4</xm:sqref>
        </x14:conditionalFormatting>
        <x14:conditionalFormatting xmlns:xm="http://schemas.microsoft.com/office/excel/2006/main">
          <x14:cfRule type="iconSet" priority="8" id="{57ACB338-C533-4161-8A75-BB8F7E05567B}">
            <x14:iconSet custom="1">
              <x14:cfvo type="percent">
                <xm:f>0</xm:f>
              </x14:cfvo>
              <x14:cfvo type="num">
                <xm:f>0.05</xm:f>
              </x14:cfvo>
              <x14:cfvo type="num">
                <xm:f>0.1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K4:L4</xm:sqref>
        </x14:conditionalFormatting>
        <x14:conditionalFormatting xmlns:xm="http://schemas.microsoft.com/office/excel/2006/main">
          <x14:cfRule type="iconSet" priority="10" id="{208EFF8A-2B67-415A-9706-1969F79E235D}">
            <x14:iconSet custom="1">
              <x14:cfvo type="percent">
                <xm:f>0</xm:f>
              </x14:cfvo>
              <x14:cfvo type="num">
                <xm:f>0.05</xm:f>
              </x14:cfvo>
              <x14:cfvo type="num">
                <xm:f>0.1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H5:L6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B941-9E94-4955-AF62-CCD0D3DC7219}">
  <dimension ref="A1:K32"/>
  <sheetViews>
    <sheetView workbookViewId="0">
      <selection activeCell="K13" sqref="K13"/>
    </sheetView>
  </sheetViews>
  <sheetFormatPr baseColWidth="10" defaultRowHeight="13.8" x14ac:dyDescent="0.25"/>
  <cols>
    <col min="1" max="16384" width="11.5546875" style="1"/>
  </cols>
  <sheetData>
    <row r="1" spans="1:11" ht="14.4" thickBot="1" x14ac:dyDescent="0.3"/>
    <row r="2" spans="1:11" ht="14.4" customHeight="1" x14ac:dyDescent="0.25">
      <c r="A2" s="67" t="s">
        <v>111</v>
      </c>
      <c r="B2" s="68"/>
      <c r="C2" s="64" t="s">
        <v>65</v>
      </c>
      <c r="D2" s="65"/>
      <c r="E2" s="66"/>
      <c r="F2" s="64" t="s">
        <v>72</v>
      </c>
      <c r="G2" s="65"/>
      <c r="H2" s="66"/>
      <c r="I2" s="22" t="s">
        <v>40</v>
      </c>
    </row>
    <row r="3" spans="1:11" ht="16.2" x14ac:dyDescent="0.35">
      <c r="A3" s="69"/>
      <c r="B3" s="70"/>
      <c r="C3" s="10" t="s">
        <v>113</v>
      </c>
      <c r="D3" s="11" t="s">
        <v>114</v>
      </c>
      <c r="E3" s="12" t="s">
        <v>115</v>
      </c>
      <c r="F3" s="10" t="s">
        <v>116</v>
      </c>
      <c r="G3" s="11" t="s">
        <v>117</v>
      </c>
      <c r="H3" s="12" t="s">
        <v>118</v>
      </c>
      <c r="I3" s="23" t="s">
        <v>207</v>
      </c>
    </row>
    <row r="4" spans="1:11" ht="14.4" thickBot="1" x14ac:dyDescent="0.3">
      <c r="A4" s="71"/>
      <c r="B4" s="72"/>
      <c r="C4" s="13" t="s">
        <v>109</v>
      </c>
      <c r="D4" s="14" t="s">
        <v>110</v>
      </c>
      <c r="E4" s="15" t="s">
        <v>110</v>
      </c>
      <c r="F4" s="13" t="s">
        <v>109</v>
      </c>
      <c r="G4" s="14" t="s">
        <v>110</v>
      </c>
      <c r="H4" s="15" t="s">
        <v>110</v>
      </c>
      <c r="I4" s="24" t="s">
        <v>110</v>
      </c>
    </row>
    <row r="5" spans="1:11" x14ac:dyDescent="0.25">
      <c r="A5" s="73" t="s">
        <v>107</v>
      </c>
      <c r="B5" s="16" t="s">
        <v>105</v>
      </c>
      <c r="C5" s="30">
        <v>16.768999999999998</v>
      </c>
      <c r="D5" s="40">
        <v>21.488</v>
      </c>
      <c r="E5" s="32">
        <v>151.24700000000001</v>
      </c>
      <c r="F5" s="30">
        <v>2.2450000000000001</v>
      </c>
      <c r="G5" s="31" t="s">
        <v>256</v>
      </c>
      <c r="H5" s="32">
        <v>-151.24700000000001</v>
      </c>
      <c r="I5" s="33">
        <v>55.09</v>
      </c>
    </row>
    <row r="6" spans="1:11" x14ac:dyDescent="0.25">
      <c r="A6" s="74"/>
      <c r="B6" s="11" t="s">
        <v>106</v>
      </c>
      <c r="C6" s="30">
        <v>27.63</v>
      </c>
      <c r="D6" s="31">
        <v>24.952000000000002</v>
      </c>
      <c r="E6" s="32">
        <v>109.688</v>
      </c>
      <c r="F6" s="30">
        <v>0.63900000000000001</v>
      </c>
      <c r="G6" s="31" t="s">
        <v>256</v>
      </c>
      <c r="H6" s="32">
        <v>-109.688</v>
      </c>
      <c r="I6" s="34">
        <v>39.982999999999997</v>
      </c>
    </row>
    <row r="7" spans="1:11" ht="14.4" thickBot="1" x14ac:dyDescent="0.3">
      <c r="A7" s="75"/>
      <c r="B7" s="17" t="s">
        <v>119</v>
      </c>
      <c r="C7" s="35">
        <v>26.806000000000001</v>
      </c>
      <c r="D7" s="36">
        <v>24.917999999999999</v>
      </c>
      <c r="E7" s="37">
        <v>113.264</v>
      </c>
      <c r="F7" s="1">
        <v>0.57599999999999996</v>
      </c>
      <c r="G7" s="36" t="s">
        <v>256</v>
      </c>
      <c r="H7" s="37">
        <v>-113.264</v>
      </c>
      <c r="I7" s="38">
        <v>41.252000000000002</v>
      </c>
    </row>
    <row r="8" spans="1:11" x14ac:dyDescent="0.25">
      <c r="A8" s="73" t="s">
        <v>108</v>
      </c>
      <c r="B8" s="16" t="s">
        <v>105</v>
      </c>
      <c r="C8" s="39"/>
      <c r="D8" s="40"/>
      <c r="E8" s="41"/>
      <c r="F8" s="39"/>
      <c r="G8" s="40" t="s">
        <v>256</v>
      </c>
      <c r="H8" s="41"/>
      <c r="I8" s="34"/>
    </row>
    <row r="9" spans="1:11" ht="14.4" thickBot="1" x14ac:dyDescent="0.3">
      <c r="A9" s="75"/>
      <c r="B9" s="17" t="s">
        <v>119</v>
      </c>
      <c r="C9" s="35"/>
      <c r="D9" s="36"/>
      <c r="E9" s="37"/>
      <c r="F9" s="35"/>
      <c r="G9" s="36" t="s">
        <v>256</v>
      </c>
      <c r="H9" s="37"/>
      <c r="I9" s="38"/>
    </row>
    <row r="11" spans="1:11" ht="14.4" thickBot="1" x14ac:dyDescent="0.3">
      <c r="K11" s="77" t="s">
        <v>270</v>
      </c>
    </row>
    <row r="12" spans="1:11" x14ac:dyDescent="0.25">
      <c r="A12" s="67" t="s">
        <v>112</v>
      </c>
      <c r="B12" s="68"/>
      <c r="C12" s="64" t="s">
        <v>65</v>
      </c>
      <c r="D12" s="65"/>
      <c r="E12" s="66"/>
      <c r="F12" s="64" t="s">
        <v>72</v>
      </c>
      <c r="G12" s="65"/>
      <c r="H12" s="66"/>
      <c r="I12" s="22" t="s">
        <v>40</v>
      </c>
      <c r="K12" s="77"/>
    </row>
    <row r="13" spans="1:11" ht="16.2" x14ac:dyDescent="0.35">
      <c r="A13" s="69"/>
      <c r="B13" s="70"/>
      <c r="C13" s="10" t="s">
        <v>113</v>
      </c>
      <c r="D13" s="11" t="s">
        <v>114</v>
      </c>
      <c r="E13" s="12" t="s">
        <v>115</v>
      </c>
      <c r="F13" s="10" t="s">
        <v>116</v>
      </c>
      <c r="G13" s="11" t="s">
        <v>117</v>
      </c>
      <c r="H13" s="12" t="s">
        <v>118</v>
      </c>
      <c r="I13" s="23" t="s">
        <v>207</v>
      </c>
      <c r="K13" s="1" t="s">
        <v>271</v>
      </c>
    </row>
    <row r="14" spans="1:11" ht="14.4" thickBot="1" x14ac:dyDescent="0.3">
      <c r="A14" s="71"/>
      <c r="B14" s="72"/>
      <c r="C14" s="18" t="s">
        <v>109</v>
      </c>
      <c r="D14" s="19" t="s">
        <v>110</v>
      </c>
      <c r="E14" s="20" t="s">
        <v>110</v>
      </c>
      <c r="F14" s="18" t="s">
        <v>109</v>
      </c>
      <c r="G14" s="19" t="s">
        <v>110</v>
      </c>
      <c r="H14" s="20" t="s">
        <v>110</v>
      </c>
      <c r="I14" s="24" t="s">
        <v>110</v>
      </c>
    </row>
    <row r="15" spans="1:11" x14ac:dyDescent="0.25">
      <c r="A15" s="73" t="s">
        <v>107</v>
      </c>
      <c r="B15" s="16" t="s">
        <v>105</v>
      </c>
      <c r="C15" s="39">
        <v>12.438000000000001</v>
      </c>
      <c r="D15" s="40">
        <v>15.927</v>
      </c>
      <c r="E15" s="41">
        <v>112.17700000000001</v>
      </c>
      <c r="F15" s="39">
        <v>1.6659999999999999</v>
      </c>
      <c r="G15" s="40" t="s">
        <v>256</v>
      </c>
      <c r="H15" s="41">
        <v>-112.17700000000001</v>
      </c>
      <c r="I15" s="33">
        <v>40.859000000000002</v>
      </c>
    </row>
    <row r="16" spans="1:11" x14ac:dyDescent="0.25">
      <c r="A16" s="74"/>
      <c r="B16" s="11" t="s">
        <v>106</v>
      </c>
      <c r="C16" s="30">
        <v>20.494</v>
      </c>
      <c r="D16" s="31">
        <v>18.497</v>
      </c>
      <c r="E16" s="32">
        <v>81.352999999999994</v>
      </c>
      <c r="F16" s="30">
        <v>0.4</v>
      </c>
      <c r="G16" s="31" t="s">
        <v>256</v>
      </c>
      <c r="H16" s="32">
        <v>-81.352999999999994</v>
      </c>
      <c r="I16" s="34">
        <v>29.654</v>
      </c>
    </row>
    <row r="17" spans="1:9" ht="14.4" thickBot="1" x14ac:dyDescent="0.3">
      <c r="A17" s="75"/>
      <c r="B17" s="17" t="s">
        <v>119</v>
      </c>
      <c r="C17" s="35">
        <v>19.882999999999999</v>
      </c>
      <c r="D17" s="36">
        <v>18.472000000000001</v>
      </c>
      <c r="E17" s="37">
        <v>84.004999999999995</v>
      </c>
      <c r="F17" s="35">
        <v>0.42799999999999999</v>
      </c>
      <c r="G17" s="36" t="s">
        <v>256</v>
      </c>
      <c r="H17" s="37">
        <v>-84.004999999999995</v>
      </c>
      <c r="I17" s="38">
        <v>30.596</v>
      </c>
    </row>
    <row r="18" spans="1:9" x14ac:dyDescent="0.25">
      <c r="A18" s="73" t="s">
        <v>108</v>
      </c>
      <c r="B18" s="16" t="s">
        <v>105</v>
      </c>
      <c r="C18" s="39"/>
      <c r="D18" s="40"/>
      <c r="E18" s="41"/>
      <c r="F18" s="39"/>
      <c r="G18" s="40"/>
      <c r="H18" s="41"/>
      <c r="I18" s="34"/>
    </row>
    <row r="19" spans="1:9" ht="14.4" thickBot="1" x14ac:dyDescent="0.3">
      <c r="A19" s="75"/>
      <c r="B19" s="17" t="s">
        <v>119</v>
      </c>
      <c r="C19" s="35"/>
      <c r="D19" s="36"/>
      <c r="E19" s="37"/>
      <c r="F19" s="35"/>
      <c r="G19" s="36"/>
      <c r="H19" s="37"/>
      <c r="I19" s="38"/>
    </row>
    <row r="21" spans="1:9" ht="14.4" thickBot="1" x14ac:dyDescent="0.3"/>
    <row r="22" spans="1:9" x14ac:dyDescent="0.25">
      <c r="A22" s="67" t="s">
        <v>249</v>
      </c>
      <c r="B22" s="68"/>
      <c r="C22" s="64" t="s">
        <v>65</v>
      </c>
      <c r="D22" s="65"/>
      <c r="E22" s="66"/>
      <c r="F22" s="64" t="s">
        <v>72</v>
      </c>
      <c r="G22" s="65"/>
      <c r="H22" s="66"/>
      <c r="I22" s="22" t="s">
        <v>40</v>
      </c>
    </row>
    <row r="23" spans="1:9" ht="16.2" x14ac:dyDescent="0.35">
      <c r="A23" s="69"/>
      <c r="B23" s="70"/>
      <c r="C23" s="43" t="s">
        <v>113</v>
      </c>
      <c r="D23" s="11" t="s">
        <v>114</v>
      </c>
      <c r="E23" s="12" t="s">
        <v>115</v>
      </c>
      <c r="F23" s="43" t="s">
        <v>116</v>
      </c>
      <c r="G23" s="11" t="s">
        <v>117</v>
      </c>
      <c r="H23" s="12" t="s">
        <v>118</v>
      </c>
      <c r="I23" s="23" t="s">
        <v>207</v>
      </c>
    </row>
    <row r="24" spans="1:9" ht="14.4" thickBot="1" x14ac:dyDescent="0.3">
      <c r="A24" s="71"/>
      <c r="B24" s="72"/>
      <c r="C24" s="18" t="s">
        <v>109</v>
      </c>
      <c r="D24" s="19" t="s">
        <v>110</v>
      </c>
      <c r="E24" s="20" t="s">
        <v>110</v>
      </c>
      <c r="F24" s="18" t="s">
        <v>109</v>
      </c>
      <c r="G24" s="19" t="s">
        <v>110</v>
      </c>
      <c r="H24" s="20" t="s">
        <v>110</v>
      </c>
      <c r="I24" s="24" t="s">
        <v>110</v>
      </c>
    </row>
    <row r="25" spans="1:9" x14ac:dyDescent="0.25">
      <c r="A25" s="73" t="s">
        <v>107</v>
      </c>
      <c r="B25" s="16" t="s">
        <v>105</v>
      </c>
      <c r="C25" s="39">
        <v>15.478</v>
      </c>
      <c r="D25" s="40" t="s">
        <v>256</v>
      </c>
      <c r="E25" s="41">
        <v>79.185000000000002</v>
      </c>
      <c r="F25" s="39">
        <v>1.9419999999999999</v>
      </c>
      <c r="G25" s="40" t="s">
        <v>256</v>
      </c>
      <c r="H25" s="41">
        <v>-79.183999999999997</v>
      </c>
      <c r="I25" s="34">
        <v>-51.645000000000003</v>
      </c>
    </row>
    <row r="26" spans="1:9" x14ac:dyDescent="0.25">
      <c r="A26" s="74"/>
      <c r="B26" s="11" t="s">
        <v>106</v>
      </c>
      <c r="C26" s="30">
        <v>8.6210000000000004</v>
      </c>
      <c r="D26" s="31"/>
      <c r="E26" s="32">
        <v>39.904000000000003</v>
      </c>
      <c r="F26" s="30">
        <v>0.158</v>
      </c>
      <c r="G26" s="31"/>
      <c r="H26" s="32">
        <v>-39.904000000000003</v>
      </c>
      <c r="I26" s="34">
        <v>-26.183</v>
      </c>
    </row>
    <row r="27" spans="1:9" ht="14.4" thickBot="1" x14ac:dyDescent="0.3">
      <c r="A27" s="75"/>
      <c r="B27" s="17" t="s">
        <v>119</v>
      </c>
      <c r="C27" s="35">
        <v>7.242</v>
      </c>
      <c r="D27" s="36"/>
      <c r="E27" s="37">
        <v>33.587000000000003</v>
      </c>
      <c r="F27" s="35">
        <v>0.14699999999999999</v>
      </c>
      <c r="G27" s="36"/>
      <c r="H27" s="37">
        <v>-33.587000000000003</v>
      </c>
      <c r="I27" s="38">
        <v>-21.991</v>
      </c>
    </row>
    <row r="28" spans="1:9" x14ac:dyDescent="0.25">
      <c r="A28" s="73" t="s">
        <v>108</v>
      </c>
      <c r="B28" s="16" t="s">
        <v>105</v>
      </c>
      <c r="C28" s="39"/>
      <c r="D28" s="40"/>
      <c r="E28" s="41"/>
      <c r="F28" s="39"/>
      <c r="G28" s="40"/>
      <c r="H28" s="41"/>
      <c r="I28" s="34"/>
    </row>
    <row r="29" spans="1:9" ht="14.4" thickBot="1" x14ac:dyDescent="0.3">
      <c r="A29" s="75"/>
      <c r="B29" s="17" t="s">
        <v>119</v>
      </c>
      <c r="C29" s="35"/>
      <c r="D29" s="36"/>
      <c r="E29" s="37"/>
      <c r="F29" s="35"/>
      <c r="G29" s="36"/>
      <c r="H29" s="37"/>
      <c r="I29" s="38"/>
    </row>
    <row r="31" spans="1:9" x14ac:dyDescent="0.25">
      <c r="B31" s="1" t="s">
        <v>239</v>
      </c>
      <c r="C31" s="1" t="s">
        <v>240</v>
      </c>
      <c r="D31" s="1" t="s">
        <v>242</v>
      </c>
      <c r="E31" s="1" t="s">
        <v>243</v>
      </c>
      <c r="F31" s="1" t="s">
        <v>240</v>
      </c>
      <c r="G31" s="1" t="s">
        <v>242</v>
      </c>
      <c r="H31" s="1" t="s">
        <v>243</v>
      </c>
      <c r="I31" s="1" t="s">
        <v>244</v>
      </c>
    </row>
    <row r="32" spans="1:9" x14ac:dyDescent="0.25">
      <c r="B32" s="1" t="s">
        <v>241</v>
      </c>
      <c r="C32" s="1">
        <v>20</v>
      </c>
      <c r="D32" s="1">
        <v>20</v>
      </c>
      <c r="E32" s="1">
        <v>20</v>
      </c>
      <c r="F32" s="1">
        <v>10</v>
      </c>
      <c r="G32" s="1">
        <v>10</v>
      </c>
      <c r="H32" s="1">
        <v>10</v>
      </c>
      <c r="I32" s="1">
        <v>40</v>
      </c>
    </row>
  </sheetData>
  <mergeCells count="15">
    <mergeCell ref="A22:B24"/>
    <mergeCell ref="C22:E22"/>
    <mergeCell ref="F22:H22"/>
    <mergeCell ref="A25:A27"/>
    <mergeCell ref="A28:A29"/>
    <mergeCell ref="A15:A17"/>
    <mergeCell ref="A18:A19"/>
    <mergeCell ref="A5:A7"/>
    <mergeCell ref="A8:A9"/>
    <mergeCell ref="A2:B4"/>
    <mergeCell ref="C2:E2"/>
    <mergeCell ref="F2:H2"/>
    <mergeCell ref="C12:E12"/>
    <mergeCell ref="F12:H12"/>
    <mergeCell ref="A12:B14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Bemessung</vt:lpstr>
      <vt:lpstr>SG - Stabwerk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</dc:creator>
  <cp:lastModifiedBy>Marius</cp:lastModifiedBy>
  <dcterms:created xsi:type="dcterms:W3CDTF">2021-02-25T09:08:31Z</dcterms:created>
  <dcterms:modified xsi:type="dcterms:W3CDTF">2021-05-14T14:28:43Z</dcterms:modified>
</cp:coreProperties>
</file>